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SJNAS\District Depts\Finance\Budget\Department Documents\BUDGET\FY 2018\AMENDMENTS\"/>
    </mc:Choice>
  </mc:AlternateContent>
  <bookViews>
    <workbookView xWindow="0" yWindow="0" windowWidth="28800" windowHeight="11085"/>
  </bookViews>
  <sheets>
    <sheet name="REVENUE" sheetId="2" r:id="rId1"/>
    <sheet name="APPROPRIATIONS" sheetId="82" r:id="rId2"/>
    <sheet name="APPROPRIATIONS-Detail" sheetId="83" r:id="rId3"/>
    <sheet name="Revenue-Detail" sheetId="78" r:id="rId4"/>
    <sheet name="INCREASE(DECREASE)" sheetId="74" r:id="rId5"/>
    <sheet name="MOVEMENT SUMMARY" sheetId="69" r:id="rId6"/>
  </sheets>
  <definedNames>
    <definedName name="_xlnm._FilterDatabase" localSheetId="4" hidden="1">'INCREASE(DECREASE)'!$A$1:$W$212</definedName>
    <definedName name="_xlnm._FilterDatabase" localSheetId="5" hidden="1">'MOVEMENT SUMMARY'!$A$1:$U$70</definedName>
    <definedName name="_xlnm._FilterDatabase" localSheetId="0" hidden="1">REVENUE!$A$2:$J$7</definedName>
    <definedName name="_xlnm._FilterDatabase" localSheetId="3" hidden="1">'Revenue-Detail'!$A$1:$C$311</definedName>
    <definedName name="OBJECT" localSheetId="2">#REF!</definedName>
    <definedName name="OBJECT" localSheetId="4">'INCREASE(DECREASE)'!$U:$U</definedName>
    <definedName name="OBJECT" localSheetId="5">'MOVEMENT SUMMARY'!$U:$U</definedName>
    <definedName name="OBJECT">#REF!</definedName>
    <definedName name="_xlnm.Print_Area" localSheetId="1">APPROPRIATIONS!$A$1:$H$28</definedName>
    <definedName name="_xlnm.Print_Area" localSheetId="2">'APPROPRIATIONS-Detail'!$A$1:$I$30</definedName>
    <definedName name="_xlnm.Print_Area" localSheetId="4">'INCREASE(DECREASE)'!$A$1:$U$212</definedName>
    <definedName name="_xlnm.Print_Area" localSheetId="5">'MOVEMENT SUMMARY'!$A$1:$T$74</definedName>
    <definedName name="_xlnm.Print_Area" localSheetId="0">REVENUE!$E$1:$J$125</definedName>
    <definedName name="_xlnm.Print_Titles" localSheetId="1">APPROPRIATIONS!$1:$2</definedName>
    <definedName name="_xlnm.Print_Titles" localSheetId="2">'APPROPRIATIONS-Detail'!$1:$2</definedName>
    <definedName name="_xlnm.Print_Titles" localSheetId="4">'INCREASE(DECREASE)'!$1:$1</definedName>
    <definedName name="_xlnm.Print_Titles" localSheetId="5">'MOVEMENT SUMMARY'!$1:$1</definedName>
    <definedName name="_xlnm.Print_Titles" localSheetId="0">REVENUE!$1:$2</definedName>
  </definedNames>
  <calcPr calcId="152511"/>
</workbook>
</file>

<file path=xl/calcChain.xml><?xml version="1.0" encoding="utf-8"?>
<calcChain xmlns="http://schemas.openxmlformats.org/spreadsheetml/2006/main">
  <c r="B233" i="78" l="1"/>
  <c r="B234" i="78"/>
  <c r="B237" i="78"/>
  <c r="B238" i="78"/>
  <c r="B242" i="78"/>
  <c r="B246" i="78"/>
  <c r="B250" i="78"/>
  <c r="B255" i="78"/>
  <c r="B256" i="78"/>
  <c r="B258" i="78"/>
  <c r="B259" i="78"/>
  <c r="B260" i="78"/>
  <c r="B262" i="78"/>
  <c r="B263" i="78"/>
  <c r="B264" i="78"/>
  <c r="B266" i="78"/>
  <c r="B267" i="78"/>
  <c r="B268" i="78"/>
  <c r="B270" i="78"/>
  <c r="B271" i="78"/>
  <c r="B272" i="78"/>
  <c r="B274" i="78"/>
  <c r="U113" i="74"/>
  <c r="B241" i="78" s="1"/>
  <c r="U114" i="74"/>
  <c r="U115" i="74"/>
  <c r="B243" i="78" s="1"/>
  <c r="U116" i="74"/>
  <c r="B244" i="78" s="1"/>
  <c r="U117" i="74"/>
  <c r="B245" i="78" s="1"/>
  <c r="U118" i="74"/>
  <c r="U119" i="74"/>
  <c r="B247" i="78" s="1"/>
  <c r="U120" i="74"/>
  <c r="B248" i="78" s="1"/>
  <c r="U121" i="74"/>
  <c r="B249" i="78" s="1"/>
  <c r="U122" i="74"/>
  <c r="U123" i="74"/>
  <c r="B251" i="78" s="1"/>
  <c r="U124" i="74"/>
  <c r="B252" i="78" s="1"/>
  <c r="U125" i="74"/>
  <c r="B253" i="78" s="1"/>
  <c r="U126" i="74"/>
  <c r="B254" i="78" s="1"/>
  <c r="U127" i="74"/>
  <c r="U128" i="74"/>
  <c r="U129" i="74"/>
  <c r="B257" i="78" s="1"/>
  <c r="U130" i="74"/>
  <c r="U131" i="74"/>
  <c r="U132" i="74"/>
  <c r="U133" i="74"/>
  <c r="B261" i="78" s="1"/>
  <c r="U134" i="74"/>
  <c r="U135" i="74"/>
  <c r="U136" i="74"/>
  <c r="U137" i="74"/>
  <c r="B265" i="78" s="1"/>
  <c r="U138" i="74"/>
  <c r="U139" i="74"/>
  <c r="U140" i="74"/>
  <c r="U141" i="74"/>
  <c r="B269" i="78" s="1"/>
  <c r="U142" i="74"/>
  <c r="U143" i="74"/>
  <c r="U144" i="74"/>
  <c r="U145" i="74"/>
  <c r="B273" i="78" s="1"/>
  <c r="U146" i="74"/>
  <c r="U102" i="74"/>
  <c r="B230" i="78" s="1"/>
  <c r="U103" i="74"/>
  <c r="B231" i="78" s="1"/>
  <c r="U104" i="74"/>
  <c r="B232" i="78" s="1"/>
  <c r="U105" i="74"/>
  <c r="U106" i="74"/>
  <c r="U107" i="74"/>
  <c r="B235" i="78" s="1"/>
  <c r="U108" i="74"/>
  <c r="B236" i="78" s="1"/>
  <c r="U109" i="74"/>
  <c r="U110" i="74"/>
  <c r="U111" i="74"/>
  <c r="B239" i="78" s="1"/>
  <c r="U112" i="74"/>
  <c r="B240" i="78" s="1"/>
  <c r="H33" i="83" l="1"/>
  <c r="H30" i="83"/>
  <c r="H31" i="83" s="1"/>
  <c r="G27" i="83"/>
  <c r="D27" i="83"/>
  <c r="G26" i="83"/>
  <c r="D26" i="83"/>
  <c r="G25" i="83"/>
  <c r="D25" i="83"/>
  <c r="G24" i="83"/>
  <c r="D24" i="83"/>
  <c r="D33" i="83" s="1"/>
  <c r="G23" i="83"/>
  <c r="D23" i="83"/>
  <c r="H22" i="83"/>
  <c r="H28" i="83" s="1"/>
  <c r="E22" i="83"/>
  <c r="E28" i="83" s="1"/>
  <c r="D28" i="83" s="1"/>
  <c r="C22" i="83"/>
  <c r="C28" i="83" s="1"/>
  <c r="G21" i="83"/>
  <c r="D21" i="83"/>
  <c r="G20" i="83"/>
  <c r="D20" i="83"/>
  <c r="D19" i="83"/>
  <c r="D18" i="83"/>
  <c r="D17" i="83"/>
  <c r="D16" i="83"/>
  <c r="D15" i="83"/>
  <c r="D14" i="83"/>
  <c r="D13" i="83"/>
  <c r="D12" i="83"/>
  <c r="D11" i="83"/>
  <c r="D10" i="83"/>
  <c r="D9" i="83"/>
  <c r="D8" i="83"/>
  <c r="D7" i="83"/>
  <c r="D6" i="83"/>
  <c r="D5" i="83"/>
  <c r="D4" i="83"/>
  <c r="D3" i="83"/>
  <c r="D22" i="83" s="1"/>
  <c r="G20" i="82"/>
  <c r="G21" i="82"/>
  <c r="J6" i="69"/>
  <c r="B12" i="74"/>
  <c r="O36" i="74"/>
  <c r="B36" i="74"/>
  <c r="R35" i="74"/>
  <c r="O35" i="74"/>
  <c r="R34" i="74"/>
  <c r="O34" i="74"/>
  <c r="B34" i="74"/>
  <c r="O30" i="74"/>
  <c r="B30" i="74"/>
  <c r="R28" i="74"/>
  <c r="O28" i="74"/>
  <c r="B28" i="74"/>
  <c r="O27" i="74"/>
  <c r="J27" i="74"/>
  <c r="O25" i="74"/>
  <c r="J25" i="74"/>
  <c r="O24" i="74"/>
  <c r="J24" i="74"/>
  <c r="O23" i="74"/>
  <c r="B23" i="74"/>
  <c r="O22" i="74"/>
  <c r="B22" i="74"/>
  <c r="O21" i="74"/>
  <c r="B21" i="74"/>
  <c r="O18" i="74"/>
  <c r="B18" i="74"/>
  <c r="R16" i="74"/>
  <c r="O16" i="74"/>
  <c r="R15" i="74"/>
  <c r="O15" i="74"/>
  <c r="P13" i="74"/>
  <c r="O13" i="74"/>
  <c r="B13" i="74"/>
  <c r="O12" i="74"/>
  <c r="R11" i="74"/>
  <c r="O11" i="74"/>
  <c r="B11" i="74"/>
  <c r="O10" i="74"/>
  <c r="B10" i="74"/>
  <c r="R7" i="74"/>
  <c r="O7" i="74"/>
  <c r="O6" i="74"/>
  <c r="B6" i="74"/>
  <c r="O4" i="74"/>
  <c r="J4" i="74"/>
  <c r="U158" i="74"/>
  <c r="U159" i="74"/>
  <c r="U160" i="74"/>
  <c r="U161" i="74"/>
  <c r="U162" i="74"/>
  <c r="U163" i="74"/>
  <c r="U164" i="74"/>
  <c r="U165" i="74"/>
  <c r="U166" i="74"/>
  <c r="U167" i="74"/>
  <c r="U168" i="74"/>
  <c r="U169" i="74"/>
  <c r="U170" i="74"/>
  <c r="U171" i="74"/>
  <c r="U172" i="74"/>
  <c r="U173" i="74"/>
  <c r="U174" i="74"/>
  <c r="U175" i="74"/>
  <c r="U176" i="74"/>
  <c r="U177" i="74"/>
  <c r="U178" i="74"/>
  <c r="U179" i="74"/>
  <c r="U180" i="74"/>
  <c r="U181" i="74"/>
  <c r="U182" i="74"/>
  <c r="U183" i="74"/>
  <c r="U184" i="74"/>
  <c r="U185" i="74"/>
  <c r="U186" i="74"/>
  <c r="U187" i="74"/>
  <c r="U188" i="74"/>
  <c r="U189" i="74"/>
  <c r="U190" i="74"/>
  <c r="U191" i="74"/>
  <c r="U192" i="74"/>
  <c r="U193" i="74"/>
  <c r="U194" i="74"/>
  <c r="U195" i="74"/>
  <c r="U196" i="74"/>
  <c r="U197" i="74"/>
  <c r="U198" i="74"/>
  <c r="U199" i="74"/>
  <c r="U200" i="74"/>
  <c r="U201" i="74"/>
  <c r="U202" i="74"/>
  <c r="U203" i="74"/>
  <c r="U204" i="74"/>
  <c r="U205" i="74"/>
  <c r="U206" i="74"/>
  <c r="U207" i="74"/>
  <c r="U208" i="74"/>
  <c r="U209" i="74"/>
  <c r="U210" i="74"/>
  <c r="U147" i="74"/>
  <c r="U148" i="74"/>
  <c r="U149" i="74"/>
  <c r="U150" i="74"/>
  <c r="U151" i="74"/>
  <c r="U152" i="74"/>
  <c r="U153" i="74"/>
  <c r="U154" i="74"/>
  <c r="U155" i="74"/>
  <c r="U156" i="74"/>
  <c r="U157" i="74"/>
  <c r="K41" i="74"/>
  <c r="I47" i="2" l="1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B12" i="69"/>
  <c r="B6" i="69"/>
  <c r="B2" i="69"/>
  <c r="U10" i="69" l="1"/>
  <c r="U35" i="69"/>
  <c r="U13" i="69"/>
  <c r="U26" i="74" l="1"/>
  <c r="B92" i="78" s="1"/>
  <c r="U46" i="69" l="1"/>
  <c r="U43" i="69"/>
  <c r="U53" i="69" l="1"/>
  <c r="H22" i="82"/>
  <c r="J44" i="2"/>
  <c r="J107" i="2"/>
  <c r="J8" i="2" l="1"/>
  <c r="H44" i="2" l="1"/>
  <c r="U6" i="69" l="1"/>
  <c r="U23" i="69" l="1"/>
  <c r="U47" i="69" l="1"/>
  <c r="U28" i="69"/>
  <c r="P72" i="69"/>
  <c r="B213" i="78" l="1"/>
  <c r="U211" i="74" l="1"/>
  <c r="T72" i="69" l="1"/>
  <c r="S72" i="69"/>
  <c r="R72" i="69"/>
  <c r="Q72" i="69"/>
  <c r="O72" i="69"/>
  <c r="N72" i="69"/>
  <c r="M72" i="69"/>
  <c r="L72" i="69"/>
  <c r="K72" i="69"/>
  <c r="J72" i="69"/>
  <c r="I72" i="69"/>
  <c r="H72" i="69"/>
  <c r="G72" i="69"/>
  <c r="F72" i="69"/>
  <c r="E72" i="69"/>
  <c r="D72" i="69"/>
  <c r="C72" i="69"/>
  <c r="B72" i="69"/>
  <c r="U70" i="69"/>
  <c r="U69" i="69"/>
  <c r="U68" i="69"/>
  <c r="U67" i="69"/>
  <c r="U66" i="69"/>
  <c r="U65" i="69"/>
  <c r="U64" i="69"/>
  <c r="U63" i="69"/>
  <c r="U62" i="69"/>
  <c r="U61" i="69"/>
  <c r="U60" i="69"/>
  <c r="U59" i="69"/>
  <c r="U58" i="69"/>
  <c r="U57" i="69"/>
  <c r="U56" i="69"/>
  <c r="U55" i="69"/>
  <c r="U54" i="69"/>
  <c r="U52" i="69"/>
  <c r="U51" i="69"/>
  <c r="U50" i="69"/>
  <c r="U49" i="69"/>
  <c r="U48" i="69"/>
  <c r="U45" i="69"/>
  <c r="U44" i="69"/>
  <c r="U42" i="69"/>
  <c r="U41" i="69"/>
  <c r="U40" i="69"/>
  <c r="U39" i="69"/>
  <c r="U38" i="69"/>
  <c r="U37" i="69"/>
  <c r="U36" i="69"/>
  <c r="U34" i="69"/>
  <c r="U33" i="69"/>
  <c r="U32" i="69"/>
  <c r="U31" i="69"/>
  <c r="U30" i="69"/>
  <c r="U29" i="69"/>
  <c r="U27" i="69"/>
  <c r="U26" i="69"/>
  <c r="U25" i="69"/>
  <c r="U24" i="69"/>
  <c r="U22" i="69"/>
  <c r="U21" i="69"/>
  <c r="U20" i="69"/>
  <c r="U19" i="69"/>
  <c r="U18" i="69"/>
  <c r="U17" i="69"/>
  <c r="U16" i="69"/>
  <c r="U15" i="69"/>
  <c r="U12" i="69"/>
  <c r="U5" i="69"/>
  <c r="U9" i="69"/>
  <c r="U2" i="69"/>
  <c r="U8" i="69"/>
  <c r="U4" i="69"/>
  <c r="U7" i="69"/>
  <c r="U3" i="69"/>
  <c r="U11" i="69"/>
  <c r="U14" i="69"/>
  <c r="T212" i="74"/>
  <c r="S212" i="74"/>
  <c r="R212" i="74"/>
  <c r="F19" i="83" s="1"/>
  <c r="G19" i="83" s="1"/>
  <c r="Q212" i="74"/>
  <c r="F18" i="83" s="1"/>
  <c r="G18" i="83" s="1"/>
  <c r="P212" i="74"/>
  <c r="F17" i="83" s="1"/>
  <c r="G17" i="83" s="1"/>
  <c r="O212" i="74"/>
  <c r="F16" i="83" s="1"/>
  <c r="G16" i="83" s="1"/>
  <c r="N212" i="74"/>
  <c r="F15" i="83" s="1"/>
  <c r="G15" i="83" s="1"/>
  <c r="M212" i="74"/>
  <c r="F14" i="83" s="1"/>
  <c r="G14" i="83" s="1"/>
  <c r="L212" i="74"/>
  <c r="F13" i="83" s="1"/>
  <c r="G13" i="83" s="1"/>
  <c r="K212" i="74"/>
  <c r="F12" i="83" s="1"/>
  <c r="G12" i="83" s="1"/>
  <c r="J212" i="74"/>
  <c r="F11" i="83" s="1"/>
  <c r="G11" i="83" s="1"/>
  <c r="I212" i="74"/>
  <c r="F10" i="83" s="1"/>
  <c r="G10" i="83" s="1"/>
  <c r="H212" i="74"/>
  <c r="F9" i="83" s="1"/>
  <c r="G9" i="83" s="1"/>
  <c r="G212" i="74"/>
  <c r="F8" i="83" s="1"/>
  <c r="G8" i="83" s="1"/>
  <c r="F212" i="74"/>
  <c r="F7" i="83" s="1"/>
  <c r="G7" i="83" s="1"/>
  <c r="E212" i="74"/>
  <c r="F6" i="83" s="1"/>
  <c r="G6" i="83" s="1"/>
  <c r="D212" i="74"/>
  <c r="F5" i="83" s="1"/>
  <c r="G5" i="83" s="1"/>
  <c r="C212" i="74"/>
  <c r="F4" i="83" s="1"/>
  <c r="G4" i="83" s="1"/>
  <c r="B212" i="74"/>
  <c r="F3" i="83" s="1"/>
  <c r="U101" i="74"/>
  <c r="U99" i="74"/>
  <c r="B182" i="78" s="1"/>
  <c r="U98" i="74"/>
  <c r="B181" i="78" s="1"/>
  <c r="U97" i="74"/>
  <c r="B180" i="78" s="1"/>
  <c r="U96" i="74"/>
  <c r="B179" i="78" s="1"/>
  <c r="U95" i="74"/>
  <c r="B178" i="78" s="1"/>
  <c r="U94" i="74"/>
  <c r="B177" i="78" s="1"/>
  <c r="U93" i="74"/>
  <c r="B176" i="78" s="1"/>
  <c r="U92" i="74"/>
  <c r="B175" i="78" s="1"/>
  <c r="U91" i="74"/>
  <c r="B174" i="78" s="1"/>
  <c r="U90" i="74"/>
  <c r="B173" i="78" s="1"/>
  <c r="U89" i="74"/>
  <c r="B172" i="78" s="1"/>
  <c r="U88" i="74"/>
  <c r="B171" i="78" s="1"/>
  <c r="U87" i="74"/>
  <c r="B170" i="78" s="1"/>
  <c r="U86" i="74"/>
  <c r="B169" i="78" s="1"/>
  <c r="U85" i="74"/>
  <c r="B168" i="78" s="1"/>
  <c r="U84" i="74"/>
  <c r="B167" i="78" s="1"/>
  <c r="U83" i="74"/>
  <c r="B166" i="78" s="1"/>
  <c r="U82" i="74"/>
  <c r="B165" i="78" s="1"/>
  <c r="U81" i="74"/>
  <c r="U80" i="74"/>
  <c r="B163" i="78" s="1"/>
  <c r="U79" i="74"/>
  <c r="B162" i="78" s="1"/>
  <c r="U78" i="74"/>
  <c r="B158" i="78" s="1"/>
  <c r="U77" i="74"/>
  <c r="B157" i="78" s="1"/>
  <c r="U75" i="74"/>
  <c r="B145" i="78" s="1"/>
  <c r="U74" i="74"/>
  <c r="B144" i="78" s="1"/>
  <c r="U73" i="74"/>
  <c r="B143" i="78" s="1"/>
  <c r="U72" i="74"/>
  <c r="B142" i="78" s="1"/>
  <c r="U71" i="74"/>
  <c r="B141" i="78" s="1"/>
  <c r="U70" i="74"/>
  <c r="B140" i="78" s="1"/>
  <c r="U69" i="74"/>
  <c r="B139" i="78" s="1"/>
  <c r="U68" i="74"/>
  <c r="B138" i="78" s="1"/>
  <c r="U67" i="74"/>
  <c r="B137" i="78" s="1"/>
  <c r="U66" i="74"/>
  <c r="B136" i="78" s="1"/>
  <c r="U65" i="74"/>
  <c r="B135" i="78" s="1"/>
  <c r="U64" i="74"/>
  <c r="B134" i="78" s="1"/>
  <c r="U63" i="74"/>
  <c r="B133" i="78" s="1"/>
  <c r="U62" i="74"/>
  <c r="B132" i="78" s="1"/>
  <c r="U61" i="74"/>
  <c r="B131" i="78" s="1"/>
  <c r="U60" i="74"/>
  <c r="B130" i="78" s="1"/>
  <c r="U59" i="74"/>
  <c r="B129" i="78" s="1"/>
  <c r="U58" i="74"/>
  <c r="B128" i="78" s="1"/>
  <c r="U57" i="74"/>
  <c r="B127" i="78" s="1"/>
  <c r="U56" i="74"/>
  <c r="B126" i="78" s="1"/>
  <c r="U55" i="74"/>
  <c r="B125" i="78" s="1"/>
  <c r="U54" i="74"/>
  <c r="B124" i="78" s="1"/>
  <c r="U53" i="74"/>
  <c r="B123" i="78" s="1"/>
  <c r="U52" i="74"/>
  <c r="B122" i="78" s="1"/>
  <c r="U51" i="74"/>
  <c r="B121" i="78" s="1"/>
  <c r="U50" i="74"/>
  <c r="B120" i="78" s="1"/>
  <c r="U49" i="74"/>
  <c r="B119" i="78" s="1"/>
  <c r="U48" i="74"/>
  <c r="B118" i="78" s="1"/>
  <c r="U47" i="74"/>
  <c r="B117" i="78" s="1"/>
  <c r="U46" i="74"/>
  <c r="B116" i="78" s="1"/>
  <c r="U45" i="74"/>
  <c r="B115" i="78" s="1"/>
  <c r="U44" i="74"/>
  <c r="B114" i="78" s="1"/>
  <c r="U43" i="74"/>
  <c r="B113" i="78" s="1"/>
  <c r="U42" i="74"/>
  <c r="B112" i="78" s="1"/>
  <c r="U41" i="74"/>
  <c r="B111" i="78" s="1"/>
  <c r="U40" i="74"/>
  <c r="B110" i="78" s="1"/>
  <c r="U38" i="74"/>
  <c r="B104" i="78" s="1"/>
  <c r="U37" i="74"/>
  <c r="B103" i="78" s="1"/>
  <c r="U36" i="74"/>
  <c r="B102" i="78" s="1"/>
  <c r="U35" i="74"/>
  <c r="B101" i="78" s="1"/>
  <c r="U34" i="74"/>
  <c r="B100" i="78" s="1"/>
  <c r="U33" i="74"/>
  <c r="B99" i="78" s="1"/>
  <c r="U32" i="74"/>
  <c r="B98" i="78" s="1"/>
  <c r="U31" i="74"/>
  <c r="B97" i="78" s="1"/>
  <c r="U30" i="74"/>
  <c r="B96" i="78" s="1"/>
  <c r="U29" i="74"/>
  <c r="B95" i="78" s="1"/>
  <c r="U28" i="74"/>
  <c r="B94" i="78" s="1"/>
  <c r="U27" i="74"/>
  <c r="B93" i="78" s="1"/>
  <c r="U25" i="74"/>
  <c r="B91" i="78" s="1"/>
  <c r="U24" i="74"/>
  <c r="B90" i="78" s="1"/>
  <c r="U23" i="74"/>
  <c r="B89" i="78" s="1"/>
  <c r="U22" i="74"/>
  <c r="B88" i="78" s="1"/>
  <c r="U21" i="74"/>
  <c r="B87" i="78" s="1"/>
  <c r="U20" i="74"/>
  <c r="B86" i="78" s="1"/>
  <c r="U19" i="74"/>
  <c r="B85" i="78" s="1"/>
  <c r="U18" i="74"/>
  <c r="B84" i="78" s="1"/>
  <c r="U17" i="74"/>
  <c r="B83" i="78" s="1"/>
  <c r="U16" i="74"/>
  <c r="B82" i="78" s="1"/>
  <c r="U15" i="74"/>
  <c r="B81" i="78" s="1"/>
  <c r="U14" i="74"/>
  <c r="B80" i="78" s="1"/>
  <c r="U13" i="74"/>
  <c r="B79" i="78" s="1"/>
  <c r="U12" i="74"/>
  <c r="B78" i="78" s="1"/>
  <c r="U11" i="74"/>
  <c r="B77" i="78" s="1"/>
  <c r="U10" i="74"/>
  <c r="B76" i="78" s="1"/>
  <c r="U9" i="74"/>
  <c r="B75" i="78" s="1"/>
  <c r="U8" i="74"/>
  <c r="B74" i="78" s="1"/>
  <c r="U7" i="74"/>
  <c r="B73" i="78" s="1"/>
  <c r="U6" i="74"/>
  <c r="B72" i="78" s="1"/>
  <c r="U5" i="74"/>
  <c r="B71" i="78" s="1"/>
  <c r="U4" i="74"/>
  <c r="B70" i="78" s="1"/>
  <c r="U3" i="74"/>
  <c r="B312" i="78"/>
  <c r="B299" i="78"/>
  <c r="B294" i="78"/>
  <c r="B281" i="78"/>
  <c r="B224" i="78"/>
  <c r="B218" i="78"/>
  <c r="B154" i="78"/>
  <c r="B150" i="78"/>
  <c r="B62" i="78"/>
  <c r="B54" i="78"/>
  <c r="B6" i="78"/>
  <c r="H33" i="82"/>
  <c r="G27" i="82"/>
  <c r="D27" i="82"/>
  <c r="G26" i="82"/>
  <c r="D26" i="82"/>
  <c r="G25" i="82"/>
  <c r="D25" i="82"/>
  <c r="G24" i="82"/>
  <c r="D24" i="82"/>
  <c r="G23" i="82"/>
  <c r="D23" i="82"/>
  <c r="H28" i="82"/>
  <c r="E22" i="82"/>
  <c r="E28" i="82" s="1"/>
  <c r="C22" i="82"/>
  <c r="C28" i="82" s="1"/>
  <c r="D21" i="82"/>
  <c r="D20" i="82"/>
  <c r="D19" i="82"/>
  <c r="D18" i="82"/>
  <c r="D17" i="82"/>
  <c r="D16" i="82"/>
  <c r="D15" i="82"/>
  <c r="D14" i="82"/>
  <c r="D13" i="82"/>
  <c r="D12" i="82"/>
  <c r="D11" i="82"/>
  <c r="D10" i="82"/>
  <c r="D9" i="82"/>
  <c r="D8" i="82"/>
  <c r="D7" i="82"/>
  <c r="D6" i="82"/>
  <c r="D5" i="82"/>
  <c r="D4" i="82"/>
  <c r="D3" i="82"/>
  <c r="J122" i="2"/>
  <c r="H122" i="2"/>
  <c r="F122" i="2"/>
  <c r="I121" i="2"/>
  <c r="G121" i="2"/>
  <c r="I120" i="2"/>
  <c r="G120" i="2"/>
  <c r="I119" i="2"/>
  <c r="G119" i="2"/>
  <c r="I118" i="2"/>
  <c r="G118" i="2"/>
  <c r="I117" i="2"/>
  <c r="G117" i="2"/>
  <c r="I116" i="2"/>
  <c r="G116" i="2"/>
  <c r="J112" i="2"/>
  <c r="H112" i="2"/>
  <c r="F112" i="2"/>
  <c r="I111" i="2"/>
  <c r="G111" i="2"/>
  <c r="I110" i="2"/>
  <c r="G110" i="2"/>
  <c r="I109" i="2"/>
  <c r="G109" i="2"/>
  <c r="I108" i="2"/>
  <c r="G108" i="2"/>
  <c r="H107" i="2"/>
  <c r="F107" i="2"/>
  <c r="I106" i="2"/>
  <c r="G106" i="2"/>
  <c r="I105" i="2"/>
  <c r="I104" i="2"/>
  <c r="G104" i="2"/>
  <c r="I103" i="2"/>
  <c r="I102" i="2"/>
  <c r="G102" i="2"/>
  <c r="I101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I46" i="2"/>
  <c r="G46" i="2"/>
  <c r="F44" i="2"/>
  <c r="I43" i="2"/>
  <c r="G43" i="2"/>
  <c r="I42" i="2"/>
  <c r="G42" i="2"/>
  <c r="I41" i="2"/>
  <c r="G41" i="2"/>
  <c r="I40" i="2"/>
  <c r="G40" i="2"/>
  <c r="I39" i="2"/>
  <c r="G39" i="2"/>
  <c r="I38" i="2"/>
  <c r="G38" i="2"/>
  <c r="I37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I22" i="2"/>
  <c r="G22" i="2"/>
  <c r="I21" i="2"/>
  <c r="G21" i="2"/>
  <c r="I20" i="2"/>
  <c r="G20" i="2"/>
  <c r="I19" i="2"/>
  <c r="G19" i="2"/>
  <c r="I18" i="2"/>
  <c r="G18" i="2"/>
  <c r="I17" i="2"/>
  <c r="G17" i="2"/>
  <c r="I16" i="2"/>
  <c r="G16" i="2"/>
  <c r="I15" i="2"/>
  <c r="I14" i="2"/>
  <c r="G14" i="2"/>
  <c r="I13" i="2"/>
  <c r="G13" i="2"/>
  <c r="I10" i="2"/>
  <c r="G10" i="2"/>
  <c r="I8" i="2"/>
  <c r="H8" i="2"/>
  <c r="H11" i="2" s="1"/>
  <c r="G8" i="2"/>
  <c r="F8" i="2"/>
  <c r="F11" i="2" s="1"/>
  <c r="I7" i="2"/>
  <c r="G7" i="2"/>
  <c r="I6" i="2"/>
  <c r="G6" i="2"/>
  <c r="I5" i="2"/>
  <c r="G5" i="2"/>
  <c r="I4" i="2"/>
  <c r="G4" i="2"/>
  <c r="B229" i="78" l="1"/>
  <c r="V100" i="74"/>
  <c r="G3" i="83"/>
  <c r="G22" i="83" s="1"/>
  <c r="G28" i="83" s="1"/>
  <c r="F22" i="83"/>
  <c r="F28" i="83" s="1"/>
  <c r="B69" i="78"/>
  <c r="B105" i="78" s="1"/>
  <c r="V2" i="74"/>
  <c r="I11" i="2"/>
  <c r="G11" i="2"/>
  <c r="F113" i="2"/>
  <c r="F125" i="2" s="1"/>
  <c r="T73" i="69"/>
  <c r="T74" i="69" s="1"/>
  <c r="D33" i="82"/>
  <c r="I122" i="2"/>
  <c r="D22" i="82"/>
  <c r="D28" i="82"/>
  <c r="I44" i="2"/>
  <c r="G122" i="2"/>
  <c r="I112" i="2"/>
  <c r="G112" i="2"/>
  <c r="G107" i="2"/>
  <c r="G44" i="2"/>
  <c r="F6" i="82"/>
  <c r="G6" i="82" s="1"/>
  <c r="F18" i="82"/>
  <c r="G18" i="82" s="1"/>
  <c r="F11" i="82"/>
  <c r="G11" i="82" s="1"/>
  <c r="F4" i="82"/>
  <c r="G4" i="82" s="1"/>
  <c r="F8" i="82"/>
  <c r="G8" i="82" s="1"/>
  <c r="F12" i="82"/>
  <c r="G12" i="82" s="1"/>
  <c r="F16" i="82"/>
  <c r="G16" i="82" s="1"/>
  <c r="F10" i="82"/>
  <c r="G10" i="82" s="1"/>
  <c r="F14" i="82"/>
  <c r="G14" i="82" s="1"/>
  <c r="F7" i="82"/>
  <c r="G7" i="82" s="1"/>
  <c r="F15" i="82"/>
  <c r="G15" i="82" s="1"/>
  <c r="F19" i="82"/>
  <c r="G19" i="82" s="1"/>
  <c r="F5" i="82"/>
  <c r="G5" i="82" s="1"/>
  <c r="F9" i="82"/>
  <c r="G9" i="82" s="1"/>
  <c r="F13" i="82"/>
  <c r="G13" i="82" s="1"/>
  <c r="F17" i="82"/>
  <c r="G17" i="82" s="1"/>
  <c r="F3" i="82"/>
  <c r="G3" i="82" s="1"/>
  <c r="J113" i="2"/>
  <c r="J125" i="2" s="1"/>
  <c r="B159" i="78"/>
  <c r="V39" i="74"/>
  <c r="U72" i="69"/>
  <c r="H113" i="2"/>
  <c r="U212" i="74"/>
  <c r="B164" i="78"/>
  <c r="B183" i="78" s="1"/>
  <c r="V76" i="74"/>
  <c r="V212" i="74"/>
  <c r="M73" i="69" l="1"/>
  <c r="M74" i="69" s="1"/>
  <c r="C73" i="69"/>
  <c r="C74" i="69" s="1"/>
  <c r="F73" i="69"/>
  <c r="F74" i="69" s="1"/>
  <c r="K73" i="69"/>
  <c r="K74" i="69" s="1"/>
  <c r="Q73" i="69"/>
  <c r="Q74" i="69" s="1"/>
  <c r="I73" i="69"/>
  <c r="I74" i="69" s="1"/>
  <c r="G113" i="2"/>
  <c r="G125" i="2" s="1"/>
  <c r="R73" i="69"/>
  <c r="R74" i="69" s="1"/>
  <c r="P73" i="69"/>
  <c r="P74" i="69" s="1"/>
  <c r="F22" i="82"/>
  <c r="F28" i="82" s="1"/>
  <c r="H73" i="69"/>
  <c r="H74" i="69" s="1"/>
  <c r="N73" i="69"/>
  <c r="N74" i="69" s="1"/>
  <c r="E73" i="69"/>
  <c r="E74" i="69" s="1"/>
  <c r="G73" i="69"/>
  <c r="G74" i="69" s="1"/>
  <c r="L73" i="69"/>
  <c r="L74" i="69" s="1"/>
  <c r="D73" i="69"/>
  <c r="D74" i="69" s="1"/>
  <c r="J73" i="69"/>
  <c r="J74" i="69" s="1"/>
  <c r="B73" i="69"/>
  <c r="O73" i="69"/>
  <c r="O74" i="69" s="1"/>
  <c r="H30" i="82"/>
  <c r="H31" i="82" s="1"/>
  <c r="B146" i="78"/>
  <c r="I113" i="2"/>
  <c r="I125" i="2" s="1"/>
  <c r="H125" i="2"/>
  <c r="B275" i="78"/>
  <c r="W212" i="74"/>
  <c r="I107" i="2" l="1"/>
  <c r="G22" i="82"/>
  <c r="B303" i="78"/>
  <c r="B305" i="78" s="1"/>
  <c r="B74" i="69"/>
  <c r="G28" i="82" l="1"/>
  <c r="S73" i="69"/>
  <c r="S74" i="69" s="1"/>
  <c r="U74" i="69" s="1"/>
  <c r="U73" i="69" l="1"/>
  <c r="B314" i="78"/>
  <c r="U215" i="74"/>
  <c r="U216" i="74" s="1"/>
</calcChain>
</file>

<file path=xl/sharedStrings.xml><?xml version="1.0" encoding="utf-8"?>
<sst xmlns="http://schemas.openxmlformats.org/spreadsheetml/2006/main" count="1062" uniqueCount="671">
  <si>
    <t xml:space="preserve"> </t>
  </si>
  <si>
    <t>Center</t>
  </si>
  <si>
    <t>FEDERAL DIRECT</t>
  </si>
  <si>
    <t>STATE SOURCES</t>
  </si>
  <si>
    <t xml:space="preserve">  Florida Education Finance Program</t>
  </si>
  <si>
    <t xml:space="preserve">  CO &amp; DS Withheld for Admin. Expense</t>
  </si>
  <si>
    <t xml:space="preserve">  Instructional Materials</t>
  </si>
  <si>
    <t xml:space="preserve">  Racing Commission</t>
  </si>
  <si>
    <t xml:space="preserve">  Lottery</t>
  </si>
  <si>
    <t xml:space="preserve">  Transportation</t>
  </si>
  <si>
    <t>TOTAL STATE SOURCES</t>
  </si>
  <si>
    <t>LOCAL SOURCES</t>
  </si>
  <si>
    <t xml:space="preserve">See other chart </t>
  </si>
  <si>
    <t>TOTAL LOCAL SOURCES</t>
  </si>
  <si>
    <t>TOTAL REVENUE</t>
  </si>
  <si>
    <t xml:space="preserve">     TOTAL FUND BALANCE</t>
  </si>
  <si>
    <t xml:space="preserve">  Excellent Teaching Program</t>
  </si>
  <si>
    <t>Activity</t>
  </si>
  <si>
    <t>Grant</t>
  </si>
  <si>
    <t>0241</t>
  </si>
  <si>
    <t>0381</t>
  </si>
  <si>
    <t>0361</t>
  </si>
  <si>
    <t>0161</t>
  </si>
  <si>
    <t>0341</t>
  </si>
  <si>
    <t xml:space="preserve"> DEBT SERVICE</t>
  </si>
  <si>
    <t>Explanation of Revenue Received</t>
  </si>
  <si>
    <t>TOTAL FEDERAL DIRECT</t>
  </si>
  <si>
    <t>TOTAL INCREASE/DECREASE</t>
  </si>
  <si>
    <t>FEDERAL THROUGH STATE</t>
  </si>
  <si>
    <t>9757</t>
  </si>
  <si>
    <t xml:space="preserve">  Workforce Development </t>
  </si>
  <si>
    <t>0021</t>
  </si>
  <si>
    <t>0351</t>
  </si>
  <si>
    <t xml:space="preserve">  Class Size Reduction Operating Funds</t>
  </si>
  <si>
    <t xml:space="preserve">  From Capital Projects Funds</t>
  </si>
  <si>
    <t>TOTAL OTHER FINANCING SOURCES</t>
  </si>
  <si>
    <t>0231</t>
  </si>
  <si>
    <t>3318</t>
  </si>
  <si>
    <t xml:space="preserve">  Adults With Disabilities</t>
  </si>
  <si>
    <t>3471</t>
  </si>
  <si>
    <t>3473</t>
  </si>
  <si>
    <t>0441</t>
  </si>
  <si>
    <t>DESCRIPTION</t>
  </si>
  <si>
    <t>REVENUE</t>
  </si>
  <si>
    <t xml:space="preserve"> GENERAL FUND</t>
  </si>
  <si>
    <t>3498</t>
  </si>
  <si>
    <t xml:space="preserve">  Sold Lost Damaged Textbooks</t>
  </si>
  <si>
    <t>3742</t>
  </si>
  <si>
    <t>9780</t>
  </si>
  <si>
    <t>SOLD LOST DAMAGED TEXTBOOKS - 3498</t>
  </si>
  <si>
    <t>TOTAL SOLD LOST DAMAGED TEXTBOOKS - 3498</t>
  </si>
  <si>
    <t>3378</t>
  </si>
  <si>
    <t xml:space="preserve">  Full Service Schools</t>
  </si>
  <si>
    <t>0000</t>
  </si>
  <si>
    <t>3741</t>
  </si>
  <si>
    <t>9001</t>
  </si>
  <si>
    <t>SALE OF JUNK - 3493</t>
  </si>
  <si>
    <t>TOTAL SALE OF JUNK - 3493</t>
  </si>
  <si>
    <t xml:space="preserve">  Insurance Loss Recovery</t>
  </si>
  <si>
    <t>INSURANCE LOSS RECOVERY - 3741</t>
  </si>
  <si>
    <t>TOTAL INSURANCE LOSS RECOVERY - 3741</t>
  </si>
  <si>
    <t>3495</t>
  </si>
  <si>
    <t>3670</t>
  </si>
  <si>
    <t xml:space="preserve">  From Internal Service Funds</t>
  </si>
  <si>
    <t xml:space="preserve">  Bartram  (0411)</t>
  </si>
  <si>
    <t xml:space="preserve">  Hunt (0161)</t>
  </si>
  <si>
    <t xml:space="preserve">  Julington Creek  (0241)</t>
  </si>
  <si>
    <t xml:space="preserve">  Nease  (0251)</t>
  </si>
  <si>
    <t xml:space="preserve">  Hartley  (0261)</t>
  </si>
  <si>
    <t xml:space="preserve">  Landrum  (0311)</t>
  </si>
  <si>
    <t xml:space="preserve">  Switzerland Pt  (0321)</t>
  </si>
  <si>
    <t xml:space="preserve">  Osceola  (0331)</t>
  </si>
  <si>
    <t xml:space="preserve">  Mill Creek  (0341)</t>
  </si>
  <si>
    <t xml:space="preserve">  Rogers  (0371)</t>
  </si>
  <si>
    <t xml:space="preserve">  Cunningham Creek (0381)</t>
  </si>
  <si>
    <t xml:space="preserve">  Ocean Palms  (0391)</t>
  </si>
  <si>
    <t xml:space="preserve">  Menendez  (0401)</t>
  </si>
  <si>
    <t xml:space="preserve">  Durbin Creek  (0441)</t>
  </si>
  <si>
    <t xml:space="preserve">  Fruit Cove  (0491)</t>
  </si>
  <si>
    <t xml:space="preserve">  Cunningham Creek  (0381)</t>
  </si>
  <si>
    <t xml:space="preserve">  Ketterlinus  (0091)</t>
  </si>
  <si>
    <t xml:space="preserve">  St. Augustine High  (0181)</t>
  </si>
  <si>
    <t xml:space="preserve">  Sebastian  (0301)</t>
  </si>
  <si>
    <t xml:space="preserve">  Durbin Crk  (0441)</t>
  </si>
  <si>
    <t xml:space="preserve">  Transportation  (9780)</t>
  </si>
  <si>
    <t xml:space="preserve">  District  (9001)</t>
  </si>
  <si>
    <t xml:space="preserve">  Adults with Disabilities  -  3318</t>
  </si>
  <si>
    <t xml:space="preserve">  Science Fair</t>
  </si>
  <si>
    <t xml:space="preserve">  Cunningham Crk On-Site Day Care Fees</t>
  </si>
  <si>
    <t xml:space="preserve">  Interest on Investments</t>
  </si>
  <si>
    <t xml:space="preserve">  Medicaid</t>
  </si>
  <si>
    <t xml:space="preserve">  Rental of facilities</t>
  </si>
  <si>
    <t xml:space="preserve">  Donations</t>
  </si>
  <si>
    <t xml:space="preserve">  Miscellaneous Local Other</t>
  </si>
  <si>
    <t xml:space="preserve">  R.O.T.C</t>
  </si>
  <si>
    <t xml:space="preserve">  R.S.V.P </t>
  </si>
  <si>
    <t xml:space="preserve"> TOTAL  RENT - 3425</t>
  </si>
  <si>
    <t xml:space="preserve"> TOTAL GIFTS, GRANTS, BEQUESTS -3440</t>
  </si>
  <si>
    <t xml:space="preserve"> TOTAL PRESCHOOL PROGRAM FEES - 3471</t>
  </si>
  <si>
    <t xml:space="preserve"> TOTAL COURSE FEES - 3473</t>
  </si>
  <si>
    <t xml:space="preserve"> OTHER LOSS RECOVERY - 3742</t>
  </si>
  <si>
    <t xml:space="preserve"> TOTAL OTHER LOSS RECOVERY - 3742</t>
  </si>
  <si>
    <t xml:space="preserve">  St. Johns Technical High School  (0033)</t>
  </si>
  <si>
    <t xml:space="preserve">  Workforce Development - 3315</t>
  </si>
  <si>
    <t xml:space="preserve">  Murray (0171)</t>
  </si>
  <si>
    <t xml:space="preserve">  Webster  (0201)</t>
  </si>
  <si>
    <t xml:space="preserve">  Excellent Teaching Program - 3363</t>
  </si>
  <si>
    <t xml:space="preserve">  Mason  (0361)</t>
  </si>
  <si>
    <t>3199</t>
  </si>
  <si>
    <t xml:space="preserve">  F E M A</t>
  </si>
  <si>
    <t xml:space="preserve">  Crookshank  (0021)</t>
  </si>
  <si>
    <t>OTHER MISCELLANEOUS LOCAL FEES  -  3495</t>
  </si>
  <si>
    <t xml:space="preserve">  Transportation  -  3354</t>
  </si>
  <si>
    <t xml:space="preserve">  Love to Learn Capital Outlay - 3397 (0081)</t>
  </si>
  <si>
    <t xml:space="preserve">  R O T C - 3191</t>
  </si>
  <si>
    <t xml:space="preserve">  F E M A  - 3199</t>
  </si>
  <si>
    <t xml:space="preserve">  Instructional Materials  -  3336</t>
  </si>
  <si>
    <t xml:space="preserve">  Public School Technology  -  3375</t>
  </si>
  <si>
    <t xml:space="preserve">  Teacher Training  -  3376</t>
  </si>
  <si>
    <t>TRANSPORTATION - OTHER</t>
  </si>
  <si>
    <t xml:space="preserve">  Bus Fees  -  3491</t>
  </si>
  <si>
    <t xml:space="preserve">  Field Trips  -  3492</t>
  </si>
  <si>
    <t>TOTAL TRANSPORTATION - OTHER</t>
  </si>
  <si>
    <t>TOTAL REFUND-PRIOR YEAR EXPENSE  -  3497</t>
  </si>
  <si>
    <t>3424</t>
  </si>
  <si>
    <t xml:space="preserve">  Tuition</t>
  </si>
  <si>
    <t>3497</t>
  </si>
  <si>
    <t xml:space="preserve">  Refund-Prior Year Expense</t>
  </si>
  <si>
    <t>3411</t>
  </si>
  <si>
    <t xml:space="preserve">  District School Tax - Basic Discretionary</t>
  </si>
  <si>
    <t xml:space="preserve">  District School Tax - Required Local Effort</t>
  </si>
  <si>
    <t xml:space="preserve">  District School Tax - Supplemental Discretionary</t>
  </si>
  <si>
    <t xml:space="preserve">  Tax Redemptions</t>
  </si>
  <si>
    <t>3640</t>
  </si>
  <si>
    <t xml:space="preserve">  From Special Revenue Funds</t>
  </si>
  <si>
    <t xml:space="preserve">  Timberlin Creek (0451)</t>
  </si>
  <si>
    <t xml:space="preserve">  South Woods (0461)</t>
  </si>
  <si>
    <t xml:space="preserve">  Hickory Creek (0501)</t>
  </si>
  <si>
    <t xml:space="preserve">  Ketterlinus (0091)</t>
  </si>
  <si>
    <t>3371</t>
  </si>
  <si>
    <t>0451</t>
  </si>
  <si>
    <t xml:space="preserve">  Timberlin Crk On-Site Day Care Fees</t>
  </si>
  <si>
    <t>0331</t>
  </si>
  <si>
    <t>0501</t>
  </si>
  <si>
    <t xml:space="preserve">  Hunt-After School Day Care Fees</t>
  </si>
  <si>
    <t xml:space="preserve">  Julington Creek-After School Day Care Fees</t>
  </si>
  <si>
    <t xml:space="preserve">  Osceola-After School Day Care Fees</t>
  </si>
  <si>
    <t xml:space="preserve">  Mill Creek-After School Day Care Fees</t>
  </si>
  <si>
    <t xml:space="preserve">  Mason-After School Day Care Fees</t>
  </si>
  <si>
    <t xml:space="preserve">  Cunningham Crk-After School Day Care Fees</t>
  </si>
  <si>
    <t xml:space="preserve">  Other Schools, Courses, and Class Fees</t>
  </si>
  <si>
    <t xml:space="preserve">  Field Trips</t>
  </si>
  <si>
    <t xml:space="preserve">  Indirect Cost-Federal</t>
  </si>
  <si>
    <t xml:space="preserve">  Crookshank After School Day Care Fees</t>
  </si>
  <si>
    <t xml:space="preserve">  School Recognition - 3361</t>
  </si>
  <si>
    <t xml:space="preserve">  Hickory Crk (0501)</t>
  </si>
  <si>
    <t xml:space="preserve">  ESE (9520)</t>
  </si>
  <si>
    <t>TRANSFER FROM CAPITAL PROJECTS - 3630</t>
  </si>
  <si>
    <t xml:space="preserve">  SAHS (0181)</t>
  </si>
  <si>
    <t xml:space="preserve">  Timberlin Crk (0451)</t>
  </si>
  <si>
    <t xml:space="preserve">  Fruit Cove (0491)</t>
  </si>
  <si>
    <t xml:space="preserve">  Durbin Crk-After School Day Care Fees</t>
  </si>
  <si>
    <t xml:space="preserve">  Timberlin Crk-After School Day Care Fees</t>
  </si>
  <si>
    <t xml:space="preserve">  Hickory Crk-After School Day Care Fees</t>
  </si>
  <si>
    <t>TOTAL OTHER MISC LOCAL FEES - 3495</t>
  </si>
  <si>
    <t xml:space="preserve">  Other Loss Recovery</t>
  </si>
  <si>
    <t xml:space="preserve">  Florida Finance Education Program - 3310</t>
  </si>
  <si>
    <t xml:space="preserve">  CO &amp; DS Withheld for Admin. Expense - 3323</t>
  </si>
  <si>
    <t xml:space="preserve">  Florida Lead Teachers Program - 3334</t>
  </si>
  <si>
    <t xml:space="preserve">  Racing Commission - 3341</t>
  </si>
  <si>
    <t xml:space="preserve">  State Mobile Home License Tax</t>
  </si>
  <si>
    <t xml:space="preserve">  State Mobile Home License Tax  -  3343</t>
  </si>
  <si>
    <t xml:space="preserve">  Lottery - 3344</t>
  </si>
  <si>
    <t xml:space="preserve">  Class Size Reduction Operating Funds - 3355</t>
  </si>
  <si>
    <t xml:space="preserve">  Science Fair (9757)</t>
  </si>
  <si>
    <t xml:space="preserve">  Textbooks (9620)</t>
  </si>
  <si>
    <t xml:space="preserve">  Julington Crk (0241)</t>
  </si>
  <si>
    <t>PRESCHOOL PROGRAM FEES - 3471</t>
  </si>
  <si>
    <t>GIFTS, GRANTS, BEQUESTS -3440</t>
  </si>
  <si>
    <t>SCHOOL AGE CHILD CARE FEES - 3473</t>
  </si>
  <si>
    <t>RENT - 3425</t>
  </si>
  <si>
    <t>OTHER SCHOOLS, COURSES, AND CLASSES FEES - 3479</t>
  </si>
  <si>
    <t>TOTAL OTHER SCHOOLS, COURSES, AND CLASSES FEES - 3479</t>
  </si>
  <si>
    <t xml:space="preserve">  Florida School Recognition</t>
  </si>
  <si>
    <t xml:space="preserve">  Florida Lead Teachers Program</t>
  </si>
  <si>
    <t xml:space="preserve">  Durbin Crk (0441)</t>
  </si>
  <si>
    <t>3323</t>
  </si>
  <si>
    <t xml:space="preserve">  Voluntary Pre-Kindergarten Program-Timberlin Crk</t>
  </si>
  <si>
    <t xml:space="preserve">  Mason (0361)</t>
  </si>
  <si>
    <t xml:space="preserve">  Hartley (0261)</t>
  </si>
  <si>
    <t>3630</t>
  </si>
  <si>
    <t xml:space="preserve">  FCTI From Capital Projects Funds</t>
  </si>
  <si>
    <t>3493</t>
  </si>
  <si>
    <t>Crookshank (0021)</t>
  </si>
  <si>
    <t>Amount</t>
  </si>
  <si>
    <t xml:space="preserve">  Risk Management  (9731)</t>
  </si>
  <si>
    <t xml:space="preserve">  Crookshank (0021)</t>
  </si>
  <si>
    <t xml:space="preserve">  Gaines @ Hamblen  (0031)</t>
  </si>
  <si>
    <t xml:space="preserve">  Timberlin Crk  (0451)</t>
  </si>
  <si>
    <t>3491</t>
  </si>
  <si>
    <t xml:space="preserve">  Bus Fees</t>
  </si>
  <si>
    <t>INTEREST ON INVESTMENT - 3431</t>
  </si>
  <si>
    <t>TRANSFER FROM SPECIAL REVENUE - 3640</t>
  </si>
  <si>
    <t>3499</t>
  </si>
  <si>
    <t>0482</t>
  </si>
  <si>
    <t xml:space="preserve">  Wards Creek-After School Day Care Fees</t>
  </si>
  <si>
    <t>MEDICAID - 3202</t>
  </si>
  <si>
    <t>FACILITY RENTAL</t>
  </si>
  <si>
    <t xml:space="preserve">  Pacetti Bay  (0481)</t>
  </si>
  <si>
    <t xml:space="preserve">  Wards Creek  (0482)</t>
  </si>
  <si>
    <t>3317</t>
  </si>
  <si>
    <t xml:space="preserve">  PV Rawlings  (0351)</t>
  </si>
  <si>
    <t xml:space="preserve">  Wards Crk  (0482)</t>
  </si>
  <si>
    <t xml:space="preserve">  Ponte Vedra High School  (0492)</t>
  </si>
  <si>
    <t xml:space="preserve">  Hunt  (0161)</t>
  </si>
  <si>
    <t xml:space="preserve">  Creekside  (0493)</t>
  </si>
  <si>
    <t xml:space="preserve">  Cunningham Crk  (0381)</t>
  </si>
  <si>
    <t xml:space="preserve">  Workforce Devl - Performance Based Incentives - 3317</t>
  </si>
  <si>
    <t>OTHER STUDENT FEES - 3469</t>
  </si>
  <si>
    <t>TOTAL OTHER STUDENT FEES - 3469</t>
  </si>
  <si>
    <t>TOTAL FEDERAL THROUGH STATE</t>
  </si>
  <si>
    <t>0472</t>
  </si>
  <si>
    <t xml:space="preserve">  Liberty Pines After School Day Care Fees</t>
  </si>
  <si>
    <t xml:space="preserve">  Ponte Vedra  (0492)</t>
  </si>
  <si>
    <t xml:space="preserve">  Liberty Pines  (0472)</t>
  </si>
  <si>
    <t xml:space="preserve">  Murray  (0171)</t>
  </si>
  <si>
    <t xml:space="preserve">  Sale of Recycled Oil</t>
  </si>
  <si>
    <t xml:space="preserve">  Liberty Pines Academy  (0472)</t>
  </si>
  <si>
    <t xml:space="preserve">  Liberty  (0472)</t>
  </si>
  <si>
    <t>3780</t>
  </si>
  <si>
    <t xml:space="preserve">  Gain on Disposition of Assets</t>
  </si>
  <si>
    <t xml:space="preserve">  Sale of Junk</t>
  </si>
  <si>
    <t>FOOD SRVC INDIRECT COST - 3499</t>
  </si>
  <si>
    <t>GAIN ON DISPOSITION OF ASSETTS - 3780</t>
  </si>
  <si>
    <t>FEDERAL INDIRECT COST RATE - 3494</t>
  </si>
  <si>
    <t xml:space="preserve">  St Augustine High School  (0181)</t>
  </si>
  <si>
    <t xml:space="preserve">  St. Johns Co Education Foundation Inc.</t>
  </si>
  <si>
    <t>9732</t>
  </si>
  <si>
    <t xml:space="preserve">  Recruiting</t>
  </si>
  <si>
    <t xml:space="preserve">  FCTC District Chargeback Fees</t>
  </si>
  <si>
    <t xml:space="preserve">  District Miscellaneous</t>
  </si>
  <si>
    <t xml:space="preserve">  ARC/TLC Charter School Administration Fees</t>
  </si>
  <si>
    <t xml:space="preserve">  ABLE Charter School Administration Fees</t>
  </si>
  <si>
    <t xml:space="preserve">  Workforce Devl - Performance Based Incentives</t>
  </si>
  <si>
    <t>Total Carry Forward</t>
  </si>
  <si>
    <t>3397</t>
  </si>
  <si>
    <t xml:space="preserve">  Charter School Capital Outlay</t>
  </si>
  <si>
    <t>3466</t>
  </si>
  <si>
    <t xml:space="preserve">  LifeLong Learning Fees - Community Education</t>
  </si>
  <si>
    <t>LIFELONG LEARNING FEES  -  3466</t>
  </si>
  <si>
    <t>TOTAL LIFELONG LEARNING FEES  -  3466</t>
  </si>
  <si>
    <t xml:space="preserve">  PVHS  (0492)</t>
  </si>
  <si>
    <t>TAX REDEMPTIONS - 3421</t>
  </si>
  <si>
    <t>TAX ACTIVITY - 3411</t>
  </si>
  <si>
    <t>TOTAL TAX ACTIVITY - 3411</t>
  </si>
  <si>
    <t xml:space="preserve">  District School Tax - Critical Operation</t>
  </si>
  <si>
    <t>9753</t>
  </si>
  <si>
    <t xml:space="preserve">  Copy Center</t>
  </si>
  <si>
    <t>OBJECT</t>
  </si>
  <si>
    <t>5000</t>
  </si>
  <si>
    <t>7400</t>
  </si>
  <si>
    <t>7700</t>
  </si>
  <si>
    <t>6500</t>
  </si>
  <si>
    <t>8200</t>
  </si>
  <si>
    <t>Difference</t>
  </si>
  <si>
    <t>7500</t>
  </si>
  <si>
    <t>3344</t>
  </si>
  <si>
    <t xml:space="preserve">  Voluntary Pre-Kindergarten Program-District</t>
  </si>
  <si>
    <t>9200</t>
  </si>
  <si>
    <t>9700</t>
  </si>
  <si>
    <t xml:space="preserve">  Fullerwood Center  (9721)</t>
  </si>
  <si>
    <t>TUITION - 3424</t>
  </si>
  <si>
    <t>Function</t>
  </si>
  <si>
    <t>9008</t>
  </si>
  <si>
    <t>396</t>
  </si>
  <si>
    <t>1012</t>
  </si>
  <si>
    <t>806</t>
  </si>
  <si>
    <t>9050</t>
  </si>
  <si>
    <t>503</t>
  </si>
  <si>
    <t>312</t>
  </si>
  <si>
    <t>314</t>
  </si>
  <si>
    <t>602</t>
  </si>
  <si>
    <t>601</t>
  </si>
  <si>
    <t>520</t>
  </si>
  <si>
    <t>129</t>
  </si>
  <si>
    <t>381</t>
  </si>
  <si>
    <t>382</t>
  </si>
  <si>
    <t>383</t>
  </si>
  <si>
    <t>901</t>
  </si>
  <si>
    <t>128</t>
  </si>
  <si>
    <t>510</t>
  </si>
  <si>
    <t>131</t>
  </si>
  <si>
    <t>316</t>
  </si>
  <si>
    <t>394</t>
  </si>
  <si>
    <t>3121</t>
  </si>
  <si>
    <t>315</t>
  </si>
  <si>
    <t xml:space="preserve">  Fingerprinting--Lunsford Act</t>
  </si>
  <si>
    <t xml:space="preserve">  Driver Education Program (9009)</t>
  </si>
  <si>
    <t xml:space="preserve">  Marine Science  (9006)</t>
  </si>
  <si>
    <t>2710 NON-SPENDABLE</t>
  </si>
  <si>
    <t>2720 RESTRICTED</t>
  </si>
  <si>
    <t>2730 COMMITTED</t>
  </si>
  <si>
    <t>2740 ASSIGNED</t>
  </si>
  <si>
    <t>2750 UNASSIGNED</t>
  </si>
  <si>
    <t>TRANSFER</t>
  </si>
  <si>
    <t xml:space="preserve">  Sales of Surplus Property</t>
  </si>
  <si>
    <t>807</t>
  </si>
  <si>
    <t xml:space="preserve">  Cunningham  (0381.601)</t>
  </si>
  <si>
    <t xml:space="preserve">  Durbin  (0441.601)</t>
  </si>
  <si>
    <t xml:space="preserve">  Hickory  (0501.601)</t>
  </si>
  <si>
    <t xml:space="preserve">  Hunt  (0161.601)</t>
  </si>
  <si>
    <t xml:space="preserve">  Julington Creek  (0241.601)</t>
  </si>
  <si>
    <t xml:space="preserve">  Ketterlinus  (0091.601)</t>
  </si>
  <si>
    <t xml:space="preserve">  Liberty Pines Academy  (0472.601)</t>
  </si>
  <si>
    <t xml:space="preserve">  Mason  (0361.601)</t>
  </si>
  <si>
    <t xml:space="preserve">  Mill Creek  (0341.601)</t>
  </si>
  <si>
    <t xml:space="preserve">  Osceola (0331.601)</t>
  </si>
  <si>
    <t xml:space="preserve">  Timberlin  (0451.601)</t>
  </si>
  <si>
    <t xml:space="preserve">  Wards Creek  (0482.601)</t>
  </si>
  <si>
    <t xml:space="preserve">  Crookshank  (0021.601)</t>
  </si>
  <si>
    <t xml:space="preserve">  Cunningham Creek On-Site Day Care  (0381.602)</t>
  </si>
  <si>
    <t xml:space="preserve">  Timberlin Creek On-Site Day Care (0451.602)</t>
  </si>
  <si>
    <t>0461</t>
  </si>
  <si>
    <t>805</t>
  </si>
  <si>
    <t>809</t>
  </si>
  <si>
    <t xml:space="preserve">  Voluntary Pre-Kindergarten Program-South Woods</t>
  </si>
  <si>
    <t xml:space="preserve">  Voluntary Pre-Kindergarten Program-Summer</t>
  </si>
  <si>
    <t xml:space="preserve">  South Woods-After School Day Care Fees</t>
  </si>
  <si>
    <t xml:space="preserve">  South Woods  (0461.601)</t>
  </si>
  <si>
    <t xml:space="preserve">  Voluntary Pre-Kindergarten District - 3371.806</t>
  </si>
  <si>
    <t xml:space="preserve">  R S V P - 3199 (9008.396.1012)</t>
  </si>
  <si>
    <t xml:space="preserve">  Voluntary Pre-Kindergarten Stand Alone - Mason - 3371 (0361.807)</t>
  </si>
  <si>
    <t xml:space="preserve">  Voluntary Pre-Kindergarten Stand Alone - Timberlin Crk - 3371 (0451.807)</t>
  </si>
  <si>
    <t xml:space="preserve">  Voluntary Pre-Kindergarten Stand Alone - South Woods - 3371 (0461.807)</t>
  </si>
  <si>
    <t xml:space="preserve">  Voluntary Pre-Kindergarten Summer - 3371 (9001.809)</t>
  </si>
  <si>
    <t xml:space="preserve">  Full Service Schools - 3378 (9610..9050)</t>
  </si>
  <si>
    <t xml:space="preserve">  District Capital Outlay - 3397 (9001.503)</t>
  </si>
  <si>
    <t xml:space="preserve">  Tangible Personal Property Tax - 3399 (9001)</t>
  </si>
  <si>
    <t xml:space="preserve">  Concurrency Pilot Program - 3399 (9740.484)</t>
  </si>
  <si>
    <t xml:space="preserve">  Taxes - Basic Discretionary  (9001.312)</t>
  </si>
  <si>
    <t xml:space="preserve">  Taxes - Required Local Effort  (9001.314)</t>
  </si>
  <si>
    <t xml:space="preserve">  Taxes - Supplemental Discretionary  (9001.315)</t>
  </si>
  <si>
    <t xml:space="preserve">  Palencia  (0511)</t>
  </si>
  <si>
    <t xml:space="preserve">  Surplus Property Sales  (9001.520)</t>
  </si>
  <si>
    <t xml:space="preserve">  School Board - NE FL School Boards Coalition (9710.902)</t>
  </si>
  <si>
    <t xml:space="preserve">  Facilities and Operations - School Concurrency (9740.485)</t>
  </si>
  <si>
    <t xml:space="preserve">  Media Services  (9620)</t>
  </si>
  <si>
    <t xml:space="preserve">  Voluntary Pre-Kindergarten Stand Alone - Cunningham - 3371 (0381.807)</t>
  </si>
  <si>
    <t xml:space="preserve">  ABLE Capital Outlay - 3397 (0011.503)</t>
  </si>
  <si>
    <t xml:space="preserve">  TLC/ARC Capital Outlay - 3397 (0071.503)</t>
  </si>
  <si>
    <t>3399</t>
  </si>
  <si>
    <t>9724</t>
  </si>
  <si>
    <t>8065</t>
  </si>
  <si>
    <t xml:space="preserve">  Postsecondary Education Readiness Grant</t>
  </si>
  <si>
    <t>REVENUE CODE CORRECTION</t>
  </si>
  <si>
    <t>Increase(Decrease)</t>
  </si>
  <si>
    <t>RENT</t>
  </si>
  <si>
    <t xml:space="preserve">     BARTRAM</t>
  </si>
  <si>
    <t xml:space="preserve">     CREEKSIDE</t>
  </si>
  <si>
    <t xml:space="preserve">     FRUIT COVE</t>
  </si>
  <si>
    <t xml:space="preserve">     HUNT</t>
  </si>
  <si>
    <t xml:space="preserve">     JULINGTON</t>
  </si>
  <si>
    <t xml:space="preserve">     KETTERLINUS</t>
  </si>
  <si>
    <t xml:space="preserve">     LANDRUM</t>
  </si>
  <si>
    <t xml:space="preserve">     MENENDEZ</t>
  </si>
  <si>
    <t xml:space="preserve">     MILL CRK</t>
  </si>
  <si>
    <t xml:space="preserve">     PACETTI </t>
  </si>
  <si>
    <t xml:space="preserve">     PONTE VEDRA </t>
  </si>
  <si>
    <t xml:space="preserve">     WARDS CRK</t>
  </si>
  <si>
    <t xml:space="preserve">     CROOKSHANK</t>
  </si>
  <si>
    <t xml:space="preserve">     CUNNINGHAM</t>
  </si>
  <si>
    <t xml:space="preserve">     DURBIN</t>
  </si>
  <si>
    <t xml:space="preserve">     HARTLEY</t>
  </si>
  <si>
    <t xml:space="preserve">     HICKORY</t>
  </si>
  <si>
    <t xml:space="preserve">     LIBERTY PINES</t>
  </si>
  <si>
    <t xml:space="preserve">     MASON</t>
  </si>
  <si>
    <t xml:space="preserve">     MURRAY</t>
  </si>
  <si>
    <t xml:space="preserve">     NEASE</t>
  </si>
  <si>
    <t xml:space="preserve">     OCEAN PALMS</t>
  </si>
  <si>
    <t xml:space="preserve">     OSCEOLA</t>
  </si>
  <si>
    <t xml:space="preserve">     PALENCIA</t>
  </si>
  <si>
    <t xml:space="preserve">     PV RAWLINGS</t>
  </si>
  <si>
    <t xml:space="preserve">     ROGERS</t>
  </si>
  <si>
    <t xml:space="preserve">     SAHS</t>
  </si>
  <si>
    <t xml:space="preserve">     SEBASTIAN</t>
  </si>
  <si>
    <t xml:space="preserve">     SOUTH WOODS</t>
  </si>
  <si>
    <t xml:space="preserve">     SWITZERLAND PT</t>
  </si>
  <si>
    <t xml:space="preserve">     TIMBERLIN CRK</t>
  </si>
  <si>
    <t xml:space="preserve">     WEBSTER</t>
  </si>
  <si>
    <t xml:space="preserve">  PV Rawlings  (0351.601)</t>
  </si>
  <si>
    <t>Total</t>
  </si>
  <si>
    <t>TRANSFER FROM INTERNAL SERVICE - 3670</t>
  </si>
  <si>
    <t>504</t>
  </si>
  <si>
    <t>384</t>
  </si>
  <si>
    <t xml:space="preserve">  Dept of Juvenile Justice Administration Fees</t>
  </si>
  <si>
    <t xml:space="preserve">  Voluntary Pre-Kindergarten Program-Mason</t>
  </si>
  <si>
    <t xml:space="preserve">  Voluntary Pre-Kindergarten Program-Cunningham</t>
  </si>
  <si>
    <t xml:space="preserve">  Usage Fees-Extended Day Programs</t>
  </si>
  <si>
    <t xml:space="preserve">  Usage Fees-Preschool Child Care Programs</t>
  </si>
  <si>
    <t>605</t>
  </si>
  <si>
    <t xml:space="preserve">  Usage Fees-School Camps</t>
  </si>
  <si>
    <t>379</t>
  </si>
  <si>
    <t>380</t>
  </si>
  <si>
    <t xml:space="preserve">  St Paul Charter Administration Fees</t>
  </si>
  <si>
    <t xml:space="preserve">  PVPVRawlings-After School Day Care Fees</t>
  </si>
  <si>
    <t>0091</t>
  </si>
  <si>
    <t xml:space="preserve">  Ketterlinus After School Day Care Fees</t>
  </si>
  <si>
    <t xml:space="preserve">  Voluntary Pre-Kindergarten Program-Ketterlinus</t>
  </si>
  <si>
    <t xml:space="preserve">     CUNNINGHAM ON-SITE</t>
  </si>
  <si>
    <t>CHILD CARE PROGRAMS</t>
  </si>
  <si>
    <t xml:space="preserve">     TIMBERLIN CRK ON-SITE</t>
  </si>
  <si>
    <t>ON-LINE AUCTION</t>
  </si>
  <si>
    <t>CUNNINGHAM ON-SITE DAY CARE</t>
  </si>
  <si>
    <t>TIMBERLIN ON-SITE DAY CARE</t>
  </si>
  <si>
    <t>CROOKSHANK EXTENDED DAY</t>
  </si>
  <si>
    <t>CUNNINGHAM EXTENDED DAY</t>
  </si>
  <si>
    <t>DURBIN EXTENDED DAY</t>
  </si>
  <si>
    <t>TIMBERLIN EXTENDED DAY</t>
  </si>
  <si>
    <t>WARDS CRK EXTENDED DAY</t>
  </si>
  <si>
    <t xml:space="preserve">  Voluntary Pre-Kindergarten Stand Alone - Ketterlinus - 3371 (0091.807)</t>
  </si>
  <si>
    <t>Medicaid Correction</t>
  </si>
  <si>
    <t>CAMPS</t>
  </si>
  <si>
    <r>
      <t xml:space="preserve">  </t>
    </r>
    <r>
      <rPr>
        <sz val="12"/>
        <rFont val="Verdana"/>
        <family val="2"/>
      </rPr>
      <t>Federal Impact Current Operations</t>
    </r>
  </si>
  <si>
    <t xml:space="preserve">  SJ Community Campus - 3397 (0072.503)</t>
  </si>
  <si>
    <t xml:space="preserve">  Postsecondary Education Readiness Assessment - 3399 (9724.8065)</t>
  </si>
  <si>
    <t xml:space="preserve">  District Bandwidth Support - 3399 (9751-8066)</t>
  </si>
  <si>
    <t>9751</t>
  </si>
  <si>
    <t>8066</t>
  </si>
  <si>
    <t xml:space="preserve">  District Bandwidth Support</t>
  </si>
  <si>
    <t xml:space="preserve">  Juvenile Justice Career &amp; Technical - 3399 (9001-8067)</t>
  </si>
  <si>
    <t>8067</t>
  </si>
  <si>
    <t xml:space="preserve">  Juvenile Justice Career &amp; Technical Course</t>
  </si>
  <si>
    <t xml:space="preserve">     FULLERWOOD CENTER</t>
  </si>
  <si>
    <t>HICKORY CREEK EXTENDED DAY</t>
  </si>
  <si>
    <t>HUNT EXTENDED DAY</t>
  </si>
  <si>
    <t>LIBERTY PINES EXTENDED DAY</t>
  </si>
  <si>
    <t>MASON EXTENDED DAY</t>
  </si>
  <si>
    <t>PVPV RAWLINGS EXTENDED DAY</t>
  </si>
  <si>
    <t>SOUTH WOODS EXTENDED DAY</t>
  </si>
  <si>
    <t>7100</t>
  </si>
  <si>
    <t>7200</t>
  </si>
  <si>
    <t>7800</t>
  </si>
  <si>
    <t>9100</t>
  </si>
  <si>
    <t>YEAR END TRANSFER ADJUSTMENTS</t>
  </si>
  <si>
    <t>JULINGTON CRK EXTENDED DAY</t>
  </si>
  <si>
    <t>KETTERLINUS EXTENDED DAY</t>
  </si>
  <si>
    <t>OSCEOLA EXTENDED DAY</t>
  </si>
  <si>
    <t>MILL CREEK EXTENDED DAY</t>
  </si>
  <si>
    <t xml:space="preserve">  Patriot Oaks  (0471)</t>
  </si>
  <si>
    <t xml:space="preserve">  Switzerland Point  (0321.601)</t>
  </si>
  <si>
    <t>SWITZERLAND PT EXTENDED DAY</t>
  </si>
  <si>
    <t xml:space="preserve">  Patriot Oaks  (0471.601)</t>
  </si>
  <si>
    <t>PATRIOT OAKS EXTENDED DAY</t>
  </si>
  <si>
    <t xml:space="preserve">  Valley Ridge  (0502.601)</t>
  </si>
  <si>
    <t>VALLEY RIDGE EXTENDED DAY</t>
  </si>
  <si>
    <t>0502</t>
  </si>
  <si>
    <t xml:space="preserve">  Valley Ridge-After School Day Care Fees</t>
  </si>
  <si>
    <t>0471</t>
  </si>
  <si>
    <t xml:space="preserve">  Patriot Oaks-After School Day Care Fees</t>
  </si>
  <si>
    <t xml:space="preserve">     PATRIOT OAKS</t>
  </si>
  <si>
    <t xml:space="preserve">     VALLEY RIDGE</t>
  </si>
  <si>
    <t>0321</t>
  </si>
  <si>
    <t xml:space="preserve">  Switzerland Pt-After School Day Care Fees</t>
  </si>
  <si>
    <t xml:space="preserve">  Guidance and Choice College Night  (9631-135)</t>
  </si>
  <si>
    <t xml:space="preserve">  Valley Ridge  (0502)</t>
  </si>
  <si>
    <t xml:space="preserve">  Instructional Leadership and Faculty Development - 3399 (9640-8068)</t>
  </si>
  <si>
    <t>9640</t>
  </si>
  <si>
    <t>8068</t>
  </si>
  <si>
    <t xml:space="preserve">  Instructional Leadership &amp; Faculty Development</t>
  </si>
  <si>
    <t xml:space="preserve">  Valley Ridge Academy  (0502)</t>
  </si>
  <si>
    <t xml:space="preserve">  Information Technology - Student Device Insurance (9751-138)</t>
  </si>
  <si>
    <t>For Detail for MD:  Change alignment to left, notes to 12 font, % to 50, and column width to 150</t>
  </si>
  <si>
    <t>8069</t>
  </si>
  <si>
    <t xml:space="preserve">  Advancement Via Individual Determination Program</t>
  </si>
  <si>
    <t xml:space="preserve">  Advancement Via Individual Determination Program - 3399 (9001-8069)</t>
  </si>
  <si>
    <t>8070</t>
  </si>
  <si>
    <t xml:space="preserve">  Performance Adjustment to School Districts</t>
  </si>
  <si>
    <t xml:space="preserve">  Performance Adjustment for School Districts - 3399 (9001-8070)</t>
  </si>
  <si>
    <t xml:space="preserve">  St. Augustine Public Montessori Capital Outlay - 3397 (0012-503)</t>
  </si>
  <si>
    <t xml:space="preserve">  St. Paul School of Excellence - 3397 (0013-503)</t>
  </si>
  <si>
    <t xml:space="preserve">  Sebastian  (0301-601)</t>
  </si>
  <si>
    <t>SEBASTIAN EXTENDED DAY</t>
  </si>
  <si>
    <t xml:space="preserve">  Ocean Palms  (0391-601)</t>
  </si>
  <si>
    <t>OCEAN PALMS EXTENDED DAY</t>
  </si>
  <si>
    <t xml:space="preserve">  Pacetti Bay  (0481-601)</t>
  </si>
  <si>
    <t>PACETTI BAY EXTENDED DAY</t>
  </si>
  <si>
    <t>0301</t>
  </si>
  <si>
    <t xml:space="preserve">  Sebastian After School Day Care Fees</t>
  </si>
  <si>
    <t>0391</t>
  </si>
  <si>
    <t xml:space="preserve">  Ocean Palms After School Day Care Fees</t>
  </si>
  <si>
    <t xml:space="preserve">  Pacetti Bay After School Day Care Fees</t>
  </si>
  <si>
    <t>0481</t>
  </si>
  <si>
    <t xml:space="preserve">  NON-SPENDABLE (Inventory)</t>
  </si>
  <si>
    <t xml:space="preserve">  RESTRICTED</t>
  </si>
  <si>
    <t xml:space="preserve">  COMMITTED</t>
  </si>
  <si>
    <t xml:space="preserve">  ASSIGNED (Revenue Shortfall)</t>
  </si>
  <si>
    <t xml:space="preserve">  OTHER ASSIGNED</t>
  </si>
  <si>
    <t xml:space="preserve">  UNASSIGNED</t>
  </si>
  <si>
    <t>TOTAL BUDGET INCREASE/DECREASE</t>
  </si>
  <si>
    <t>9633</t>
  </si>
  <si>
    <t xml:space="preserve">  Information Technology - Employee Device Insurance (9751-140)</t>
  </si>
  <si>
    <t xml:space="preserve">  Florida Best &amp; Brightest Teacher Scholarship Program - 3399 (9730-8071)</t>
  </si>
  <si>
    <t>9730</t>
  </si>
  <si>
    <t>8071</t>
  </si>
  <si>
    <t xml:space="preserve">  FL Best &amp; Brightest Teacher Scholarship Program</t>
  </si>
  <si>
    <t>ADULT EDUC CLASSES</t>
  </si>
  <si>
    <t xml:space="preserve">  Food Service Indirect Cost</t>
  </si>
  <si>
    <t>MISCELLANEOUS REVENUE</t>
  </si>
  <si>
    <t>DONATIONS</t>
  </si>
  <si>
    <t>proof</t>
  </si>
  <si>
    <t>HEALTH SERVICES</t>
  </si>
  <si>
    <t>Health Services (9611)</t>
  </si>
  <si>
    <t xml:space="preserve">  Community Education (9630.131)</t>
  </si>
  <si>
    <t>2700</t>
  </si>
  <si>
    <t>Wards Creek (0482)</t>
  </si>
  <si>
    <t>Bartram  (0411)</t>
  </si>
  <si>
    <t xml:space="preserve">  Transitions  (0061)</t>
  </si>
  <si>
    <t>CHARTER SCHOOL CAPITAL OUTLAY</t>
  </si>
  <si>
    <t xml:space="preserve">  Hurricane Shelter Retrofit Project @ Creekside - 3399  (9001-3012)</t>
  </si>
  <si>
    <t xml:space="preserve">  Community Relations  (9722)</t>
  </si>
  <si>
    <t>3012</t>
  </si>
  <si>
    <t xml:space="preserve">  Hurricane Shelter Retrofit Project @ Creekside</t>
  </si>
  <si>
    <t xml:space="preserve">  RSVP  (9008)</t>
  </si>
  <si>
    <t>RSVP - HONOR CARD</t>
  </si>
  <si>
    <t>SAHS CAMPS</t>
  </si>
  <si>
    <t>BARTRAM CAMPS</t>
  </si>
  <si>
    <t>PACETTI CAMPS</t>
  </si>
  <si>
    <t>CREEKSIDE CAMPS</t>
  </si>
  <si>
    <t>SAI</t>
  </si>
  <si>
    <t>X FUNCTION CHANGE</t>
  </si>
  <si>
    <t>ADDITIONAL REVENUE</t>
  </si>
  <si>
    <t>EXTENDED DAY</t>
  </si>
  <si>
    <t>SEBASTIAN CAMPS</t>
  </si>
  <si>
    <t>REVENUE ADJUSTMENT</t>
  </si>
  <si>
    <t xml:space="preserve">CHARTER SCHOOL CAPITAL OUTLAY </t>
  </si>
  <si>
    <t>SUPPLIES</t>
  </si>
  <si>
    <t>APPLICATION FEES</t>
  </si>
  <si>
    <t>STUDENT DEVICE INSURANCE</t>
  </si>
  <si>
    <t>EMPLOYEE DEVICE INSURANCE</t>
  </si>
  <si>
    <t>Total Local Sources &amp; Transfers</t>
  </si>
  <si>
    <t>ORIGINAL BUDGET      (July 1, 2017)</t>
  </si>
  <si>
    <t>FUND BALANCE JULY 1, 2017</t>
  </si>
  <si>
    <t>ORIGINAL BUDGET  (July 1, 2017)</t>
  </si>
  <si>
    <t>FTE RSRV TO CENTRAL SRVCS</t>
  </si>
  <si>
    <t>Sebastian (0301)</t>
  </si>
  <si>
    <t>TRANSFER TO EXCELSIOR - FACILITIES RENTALS</t>
  </si>
  <si>
    <t>SAR</t>
  </si>
  <si>
    <t xml:space="preserve">SAI </t>
  </si>
  <si>
    <t>FTE RSRV FOR ACCREDITATION</t>
  </si>
  <si>
    <t xml:space="preserve">   TOTAL REVENUE, TRANSFERS AND BALANCES</t>
  </si>
  <si>
    <t>GENERAL FUND</t>
  </si>
  <si>
    <t>SUBTOTAL</t>
  </si>
  <si>
    <t>TOTAL</t>
  </si>
  <si>
    <t>Instructional Services</t>
  </si>
  <si>
    <t>Pupil Services</t>
  </si>
  <si>
    <t>Instructional Media Services</t>
  </si>
  <si>
    <t>Instruction &amp; Curriculum Development</t>
  </si>
  <si>
    <t>Instructional Staff Training</t>
  </si>
  <si>
    <t>Instructional Technology</t>
  </si>
  <si>
    <t>Board of Education</t>
  </si>
  <si>
    <t>General Administration</t>
  </si>
  <si>
    <t>School Administration</t>
  </si>
  <si>
    <t>Facilities Acq. &amp; Construction</t>
  </si>
  <si>
    <t>Fiscal Services</t>
  </si>
  <si>
    <t>Central Services</t>
  </si>
  <si>
    <t>Transportation</t>
  </si>
  <si>
    <t>Operation of Plant</t>
  </si>
  <si>
    <t>Maintenance of Plant</t>
  </si>
  <si>
    <t>Administrative Technology Services</t>
  </si>
  <si>
    <t>Community Services</t>
  </si>
  <si>
    <t>2710 Non-Spendable (Inventory)</t>
  </si>
  <si>
    <t>2720 Restricted</t>
  </si>
  <si>
    <t>2740 Assigned</t>
  </si>
  <si>
    <t>2750 Unassigned</t>
  </si>
  <si>
    <t>2730 Committed</t>
  </si>
  <si>
    <t>ACTIVITY THRU AUGUST</t>
  </si>
  <si>
    <t>ADOPTED BUDGET        AS OF AUGUST</t>
  </si>
  <si>
    <t xml:space="preserve">  School Services - Adjunct Coaches Course   (9616-136)</t>
  </si>
  <si>
    <t>COLLEGE &amp; CAREER NIGHT</t>
  </si>
  <si>
    <t xml:space="preserve">  Picolata  (0521)</t>
  </si>
  <si>
    <t>MIDDLE SCHOOL ATHLETICS</t>
  </si>
  <si>
    <t>AMENDMENT 2018-G-03    ST. JOHNS COUNTY SCHOOL DISTRICT  FY 2017-2018 REVENUE BUDGET        OCTOBER 31, 2017</t>
  </si>
  <si>
    <t>INCREASE (DECREASE) OCTOBER</t>
  </si>
  <si>
    <t>OCTOBER BUDGET PROPOSAL</t>
  </si>
  <si>
    <t>REVENUE                     INCREASE (DECREASE) OCTOBER</t>
  </si>
  <si>
    <t>MOVEMENT BETWEEN FUNCTIONS              OCTOBER</t>
  </si>
  <si>
    <t>AMENDMENT 2018-G-03        ST. JOHNS COUNTY SCHOOL DISTRICT  FY 2017-2018 APPROPRIATION BUDGET            OCTOBER 31, 2017</t>
  </si>
  <si>
    <t>SAC</t>
  </si>
  <si>
    <t>ADVANCED PLACEMENT</t>
  </si>
  <si>
    <t>INTERNATIONAL BACCALAUREATE</t>
  </si>
  <si>
    <t>ADVANCED PROGRAMS</t>
  </si>
  <si>
    <t>RACE TO THE TOP</t>
  </si>
  <si>
    <t>ON-SITE DAY CARE</t>
  </si>
  <si>
    <t>SCHOOL RECOGNITION</t>
  </si>
  <si>
    <t>CROSS FUNCTION CHANGE</t>
  </si>
  <si>
    <t>PTO, S GRIFFIN FOR LAX WALL</t>
  </si>
  <si>
    <t>PTO FOR COMPUTERS</t>
  </si>
  <si>
    <t>SHARKS BOOSTERS FOR WEIGH ROOM EQUIP</t>
  </si>
  <si>
    <t>ON-LINE LICENSING; PARKING ATTENDENT SAL/BEN; EQUIP</t>
  </si>
  <si>
    <t>7TH PERIOD SUPPLEMENT; SUBS</t>
  </si>
  <si>
    <t>SUPPLIES, EQUIP, ON-LINE LICENSING</t>
  </si>
  <si>
    <t xml:space="preserve">SUPPLIES, EQUIP </t>
  </si>
  <si>
    <t>EQUIP</t>
  </si>
  <si>
    <t>SUBS</t>
  </si>
  <si>
    <t>LIFELONG LEARNING-COMMUNITY ED</t>
  </si>
  <si>
    <t>CREEKSIDE LICENSING; PRKG ATTN; EQUIP</t>
  </si>
  <si>
    <t>MASON SUPPLIES</t>
  </si>
  <si>
    <t>MENENDEZ 7TH PERIOD SUPP, SUBS</t>
  </si>
  <si>
    <t>NEASE SUPPLIES, EQUIP, LICENSING</t>
  </si>
  <si>
    <t>OCEAN PALMS SUPPLIES</t>
  </si>
  <si>
    <t>PVHS EQUIP</t>
  </si>
  <si>
    <t>PV RAWLINGS EQUIP</t>
  </si>
  <si>
    <t>SAHS SUBS</t>
  </si>
  <si>
    <t>SWITZERLAND CAMPS</t>
  </si>
  <si>
    <t>PATRIOT CAMPS</t>
  </si>
  <si>
    <t>VALLEY CAMPS</t>
  </si>
  <si>
    <t>MOVEMENT: Cross Function Change</t>
  </si>
  <si>
    <t>INCREASE:  Licensing  MOVEMENT: Shifting Additional Revenue, Supplemental Academic Instruction</t>
  </si>
  <si>
    <t>MOVEMENT: Shifting International Baccalaureate, Race to the Top, Supplemental Academic Instruction</t>
  </si>
  <si>
    <t xml:space="preserve">     PICOLATA</t>
  </si>
  <si>
    <t>INCREASE:  Rent; Camp revenue to appropriations  MOVEMENT: Shifting Additional Revenue, Advanced Placement, Advanced Programs, Extended Day, School Advisory Council, School Recognition</t>
  </si>
  <si>
    <t>INCREASE:  Information Technology Employee Device Insurance</t>
  </si>
  <si>
    <t>INCREASE:  Rent; Donations; Fund supplies, equipment  MOVEMENT: Shifting Additional Revenue, Extended Day; Cross Function Change</t>
  </si>
  <si>
    <t>MOVEMENT: Middle School Athletics</t>
  </si>
  <si>
    <t>INCREASE: Rent; Fund supplies, 7th period supplement, substitutes, licensing, equipment; Guidance &amp; Choice-College Night registrations, Charter School Capital Outlay; Community Education; Camp revenue to appropriations  MOVEMENT: Shifting Additional Revenue, Advanced Placement, Advanced Programs, Camps, Extended Day, International Baccalaureate, Middle School Athletics, On-Site Day Care, Race to the Top, School Advisory Council, Supplemental Academic Instruction, School Recognition; Cross Function Change</t>
  </si>
  <si>
    <t>INCREASE: Donation for facility improvement; School Concurency application fees  MOVEMENT: Shifting Additional Revenue, Camps, Extended Day, On-Site Day Care, School Recognition</t>
  </si>
  <si>
    <t>INCREASE: Rent  MOVEMENT: Shifting Additional Revenue, Extended Day, On-Site Day Care</t>
  </si>
  <si>
    <t>INCREASE:  Rent; /Fund Salary/Benefits for Parking Attendant, supplies, equipment; Camps  MOVEMENT:  Shifting Additional Revenue, Extended Day; Cross Function Change</t>
  </si>
  <si>
    <t>INCREASE:  Rent  MOVEMENT:  Shifting Additional Revenue; Cross Function Change</t>
  </si>
  <si>
    <t>PALENCIA SUPPLIES, EQUIP</t>
  </si>
  <si>
    <t>GUIDANCE &amp; CHOICE COLLEGE NIGHT REGISTRATION</t>
  </si>
  <si>
    <t>IT - STUDENT DEVICE INSURANCE</t>
  </si>
  <si>
    <t>IT - EMPLOYEE DEVICE INSURANCE</t>
  </si>
  <si>
    <t>FACILITIES - SCHOOL CONCURRENCY</t>
  </si>
  <si>
    <t xml:space="preserve">BARTRAM  </t>
  </si>
  <si>
    <t>CROOKSHANK</t>
  </si>
  <si>
    <t>CUNNINGHAM CREEK</t>
  </si>
  <si>
    <t>DURBIN</t>
  </si>
  <si>
    <t>FRUIT COVE</t>
  </si>
  <si>
    <t>GAINES @ HAMBLEM</t>
  </si>
  <si>
    <t>HARTLEY</t>
  </si>
  <si>
    <t>HICKORY</t>
  </si>
  <si>
    <t>HUNT</t>
  </si>
  <si>
    <t>JULINGTON</t>
  </si>
  <si>
    <t>KETTERLINUS</t>
  </si>
  <si>
    <t>LANDRUM</t>
  </si>
  <si>
    <t>LIBERTY PINES</t>
  </si>
  <si>
    <t>MILL CREEK</t>
  </si>
  <si>
    <t>MURRAY</t>
  </si>
  <si>
    <t>OSCEOLA</t>
  </si>
  <si>
    <t xml:space="preserve">PACETTI </t>
  </si>
  <si>
    <t>PATRIOT OAKS</t>
  </si>
  <si>
    <t>ROGERS</t>
  </si>
  <si>
    <t>ST JOHNS TECHNICAL HS</t>
  </si>
  <si>
    <t>SEBASTIAN</t>
  </si>
  <si>
    <t>SOUTH WOODS</t>
  </si>
  <si>
    <t>SWITZERLAND PT</t>
  </si>
  <si>
    <t>TIMBERLIN CRK</t>
  </si>
  <si>
    <t>TRANSITIONS</t>
  </si>
  <si>
    <t>VALLEY RIDGE</t>
  </si>
  <si>
    <t>WARDS CRK</t>
  </si>
  <si>
    <t>WEBSTER</t>
  </si>
  <si>
    <t>ESE</t>
  </si>
  <si>
    <t>MEDIA SRV</t>
  </si>
  <si>
    <t xml:space="preserve"> SCHOOL BOARD - NE FL School Boards Coalition</t>
  </si>
  <si>
    <t>COMMUNITY RELATIONS</t>
  </si>
  <si>
    <t xml:space="preserve">SCHOOL SRV - Adjunct Coaches Course  </t>
  </si>
  <si>
    <t>ACTIVITY THRU SEPTEMBER</t>
  </si>
  <si>
    <t>ADOPTED BUDGET        AS OF SEPTEMBER</t>
  </si>
  <si>
    <t>ADOPTED BUDGET              AS OF SEPTEMBER</t>
  </si>
  <si>
    <t xml:space="preserve">  St SEPTEMBERine Public Montessori Administration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</si>
</sst>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48" x14ac:knownFonts="1">
    <font>
      <sz val="10"/>
      <name val="Arial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u/>
      <sz val="12"/>
      <name val="Tahoma"/>
      <family val="2"/>
    </font>
    <font>
      <i/>
      <sz val="10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b/>
      <u/>
      <sz val="12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2"/>
      <color theme="1"/>
      <name val="Verdana"/>
      <family val="2"/>
    </font>
    <font>
      <sz val="14"/>
      <name val="Verdana"/>
      <family val="2"/>
    </font>
    <font>
      <sz val="11"/>
      <name val="Tahoma"/>
      <family val="2"/>
    </font>
    <font>
      <sz val="11"/>
      <name val="Verdana"/>
      <family val="2"/>
    </font>
    <font>
      <sz val="10"/>
      <name val="Arial"/>
      <family val="2"/>
    </font>
    <font>
      <b/>
      <u/>
      <sz val="14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b/>
      <sz val="16"/>
      <name val="Verdana"/>
      <family val="2"/>
    </font>
    <font>
      <b/>
      <sz val="1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7">
    <xf numFmtId="0" fontId="0" fillId="0" borderId="0" applyNumberFormat="0"/>
    <xf numFmtId="44" fontId="13" fillId="0" borderId="0" applyFont="0" applyFill="0" applyAlignment="0" applyProtection="0"/>
    <xf numFmtId="0" fontId="19" fillId="0" borderId="0"/>
    <xf numFmtId="0" fontId="12" fillId="0" borderId="0"/>
    <xf numFmtId="0" fontId="11" fillId="0" borderId="0"/>
    <xf numFmtId="0" fontId="20" fillId="0" borderId="0"/>
    <xf numFmtId="0" fontId="10" fillId="0" borderId="0"/>
    <xf numFmtId="0" fontId="21" fillId="0" borderId="0"/>
    <xf numFmtId="0" fontId="9" fillId="0" borderId="0"/>
    <xf numFmtId="0" fontId="22" fillId="0" borderId="0"/>
    <xf numFmtId="0" fontId="8" fillId="0" borderId="0"/>
    <xf numFmtId="0" fontId="23" fillId="0" borderId="0"/>
    <xf numFmtId="0" fontId="7" fillId="0" borderId="0"/>
    <xf numFmtId="0" fontId="6" fillId="0" borderId="0"/>
    <xf numFmtId="0" fontId="16" fillId="0" borderId="0"/>
    <xf numFmtId="0" fontId="5" fillId="0" borderId="0"/>
    <xf numFmtId="0" fontId="24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5" fillId="0" borderId="0"/>
    <xf numFmtId="0" fontId="26" fillId="0" borderId="0"/>
    <xf numFmtId="0" fontId="26" fillId="0" borderId="0"/>
    <xf numFmtId="0" fontId="13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3" fillId="0" borderId="0"/>
    <xf numFmtId="9" fontId="42" fillId="0" borderId="0" applyFont="0" applyFill="0" applyBorder="0" applyAlignment="0" applyProtection="0"/>
    <xf numFmtId="0" fontId="13" fillId="0" borderId="0" applyNumberFormat="0"/>
  </cellStyleXfs>
  <cellXfs count="159">
    <xf numFmtId="0" fontId="0" fillId="0" borderId="0" xfId="0"/>
    <xf numFmtId="43" fontId="16" fillId="0" borderId="1" xfId="1" applyNumberFormat="1" applyFont="1" applyFill="1" applyBorder="1"/>
    <xf numFmtId="0" fontId="34" fillId="2" borderId="5" xfId="0" applyFont="1" applyFill="1" applyBorder="1" applyAlignment="1">
      <alignment horizontal="center"/>
    </xf>
    <xf numFmtId="0" fontId="34" fillId="2" borderId="6" xfId="0" applyFont="1" applyFill="1" applyBorder="1" applyAlignment="1">
      <alignment horizontal="center"/>
    </xf>
    <xf numFmtId="0" fontId="35" fillId="2" borderId="0" xfId="0" applyFont="1" applyFill="1" applyBorder="1"/>
    <xf numFmtId="49" fontId="35" fillId="2" borderId="2" xfId="0" applyNumberFormat="1" applyFont="1" applyFill="1" applyBorder="1" applyAlignment="1">
      <alignment horizontal="center" wrapText="1"/>
    </xf>
    <xf numFmtId="49" fontId="35" fillId="2" borderId="3" xfId="0" applyNumberFormat="1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 vertical="center" wrapText="1"/>
    </xf>
    <xf numFmtId="49" fontId="35" fillId="2" borderId="4" xfId="0" applyNumberFormat="1" applyFont="1" applyFill="1" applyBorder="1"/>
    <xf numFmtId="49" fontId="35" fillId="2" borderId="0" xfId="0" applyNumberFormat="1" applyFont="1" applyFill="1" applyBorder="1"/>
    <xf numFmtId="49" fontId="35" fillId="2" borderId="0" xfId="0" applyNumberFormat="1" applyFont="1" applyFill="1" applyBorder="1" applyAlignment="1">
      <alignment horizontal="center"/>
    </xf>
    <xf numFmtId="44" fontId="35" fillId="2" borderId="0" xfId="1" applyFont="1" applyFill="1" applyBorder="1"/>
    <xf numFmtId="0" fontId="35" fillId="2" borderId="4" xfId="0" applyFont="1" applyFill="1" applyBorder="1"/>
    <xf numFmtId="49" fontId="36" fillId="2" borderId="4" xfId="0" applyNumberFormat="1" applyFont="1" applyFill="1" applyBorder="1"/>
    <xf numFmtId="49" fontId="36" fillId="2" borderId="0" xfId="0" applyNumberFormat="1" applyFont="1" applyFill="1" applyBorder="1"/>
    <xf numFmtId="49" fontId="36" fillId="2" borderId="0" xfId="0" applyNumberFormat="1" applyFont="1" applyFill="1" applyBorder="1" applyAlignment="1">
      <alignment horizontal="center"/>
    </xf>
    <xf numFmtId="44" fontId="36" fillId="2" borderId="8" xfId="1" applyFont="1" applyFill="1" applyBorder="1"/>
    <xf numFmtId="0" fontId="36" fillId="2" borderId="0" xfId="0" applyFont="1" applyFill="1" applyBorder="1"/>
    <xf numFmtId="49" fontId="35" fillId="2" borderId="0" xfId="0" applyNumberFormat="1" applyFont="1" applyFill="1" applyBorder="1" applyAlignment="1">
      <alignment horizontal="left"/>
    </xf>
    <xf numFmtId="49" fontId="37" fillId="2" borderId="0" xfId="0" applyNumberFormat="1" applyFont="1" applyFill="1"/>
    <xf numFmtId="43" fontId="37" fillId="2" borderId="0" xfId="0" applyNumberFormat="1" applyFont="1" applyFill="1"/>
    <xf numFmtId="44" fontId="35" fillId="0" borderId="0" xfId="1" applyFont="1" applyFill="1" applyBorder="1"/>
    <xf numFmtId="0" fontId="35" fillId="4" borderId="0" xfId="0" applyFont="1" applyFill="1" applyBorder="1"/>
    <xf numFmtId="43" fontId="38" fillId="4" borderId="0" xfId="19" applyNumberFormat="1" applyFont="1" applyFill="1"/>
    <xf numFmtId="44" fontId="35" fillId="4" borderId="0" xfId="1" applyFont="1" applyFill="1" applyBorder="1"/>
    <xf numFmtId="43" fontId="35" fillId="2" borderId="0" xfId="0" applyNumberFormat="1" applyFont="1" applyFill="1" applyBorder="1"/>
    <xf numFmtId="44" fontId="39" fillId="2" borderId="0" xfId="1" applyFont="1" applyFill="1" applyBorder="1"/>
    <xf numFmtId="49" fontId="35" fillId="2" borderId="2" xfId="0" applyNumberFormat="1" applyFont="1" applyFill="1" applyBorder="1"/>
    <xf numFmtId="49" fontId="35" fillId="2" borderId="3" xfId="0" applyNumberFormat="1" applyFont="1" applyFill="1" applyBorder="1"/>
    <xf numFmtId="44" fontId="35" fillId="2" borderId="0" xfId="0" applyNumberFormat="1" applyFont="1" applyFill="1" applyBorder="1"/>
    <xf numFmtId="44" fontId="36" fillId="2" borderId="0" xfId="1" applyFont="1" applyFill="1" applyBorder="1"/>
    <xf numFmtId="49" fontId="16" fillId="0" borderId="0" xfId="16" applyNumberFormat="1" applyFont="1" applyFill="1" applyAlignment="1" applyProtection="1">
      <alignment shrinkToFit="1"/>
    </xf>
    <xf numFmtId="43" fontId="16" fillId="0" borderId="0" xfId="16" applyNumberFormat="1" applyFont="1" applyFill="1" applyProtection="1"/>
    <xf numFmtId="0" fontId="37" fillId="2" borderId="0" xfId="0" applyFont="1" applyFill="1" applyBorder="1" applyProtection="1">
      <protection locked="0"/>
    </xf>
    <xf numFmtId="0" fontId="36" fillId="2" borderId="9" xfId="0" applyFont="1" applyFill="1" applyBorder="1" applyAlignment="1" applyProtection="1">
      <alignment horizontal="center" vertical="center" wrapText="1"/>
      <protection locked="0"/>
    </xf>
    <xf numFmtId="0" fontId="36" fillId="2" borderId="1" xfId="0" applyFont="1" applyFill="1" applyBorder="1" applyAlignment="1" applyProtection="1">
      <alignment horizontal="center" vertical="center" wrapText="1"/>
      <protection locked="0"/>
    </xf>
    <xf numFmtId="0" fontId="36" fillId="2" borderId="0" xfId="0" applyFont="1" applyFill="1" applyBorder="1" applyProtection="1">
      <protection locked="0"/>
    </xf>
    <xf numFmtId="44" fontId="35" fillId="2" borderId="0" xfId="1" applyFont="1" applyFill="1" applyBorder="1" applyProtection="1">
      <protection locked="0"/>
    </xf>
    <xf numFmtId="44" fontId="35" fillId="2" borderId="0" xfId="1" applyFont="1" applyFill="1" applyBorder="1" applyAlignment="1" applyProtection="1">
      <protection locked="0"/>
    </xf>
    <xf numFmtId="44" fontId="36" fillId="2" borderId="0" xfId="1" applyFont="1" applyFill="1" applyBorder="1" applyProtection="1">
      <protection locked="0"/>
    </xf>
    <xf numFmtId="0" fontId="36" fillId="2" borderId="0" xfId="0" applyFont="1" applyFill="1" applyBorder="1" applyAlignment="1" applyProtection="1">
      <alignment horizontal="right"/>
      <protection locked="0"/>
    </xf>
    <xf numFmtId="44" fontId="36" fillId="2" borderId="8" xfId="1" applyFont="1" applyFill="1" applyBorder="1" applyProtection="1">
      <protection locked="0"/>
    </xf>
    <xf numFmtId="44" fontId="37" fillId="2" borderId="0" xfId="0" applyNumberFormat="1" applyFont="1" applyFill="1" applyBorder="1" applyProtection="1">
      <protection locked="0"/>
    </xf>
    <xf numFmtId="44" fontId="35" fillId="2" borderId="0" xfId="0" applyNumberFormat="1" applyFont="1" applyFill="1" applyBorder="1" applyProtection="1">
      <protection locked="0"/>
    </xf>
    <xf numFmtId="44" fontId="37" fillId="2" borderId="0" xfId="1" applyFont="1" applyFill="1" applyBorder="1" applyProtection="1">
      <protection locked="0"/>
    </xf>
    <xf numFmtId="0" fontId="35" fillId="2" borderId="0" xfId="0" applyFont="1" applyFill="1" applyBorder="1" applyProtection="1">
      <protection locked="0"/>
    </xf>
    <xf numFmtId="43" fontId="35" fillId="2" borderId="0" xfId="0" applyNumberFormat="1" applyFont="1" applyFill="1" applyBorder="1" applyProtection="1">
      <protection locked="0"/>
    </xf>
    <xf numFmtId="43" fontId="37" fillId="2" borderId="0" xfId="0" applyNumberFormat="1" applyFont="1" applyFill="1" applyBorder="1" applyProtection="1">
      <protection locked="0"/>
    </xf>
    <xf numFmtId="0" fontId="39" fillId="2" borderId="0" xfId="0" applyFont="1" applyFill="1" applyBorder="1"/>
    <xf numFmtId="49" fontId="16" fillId="0" borderId="0" xfId="16" applyNumberFormat="1" applyFont="1" applyFill="1" applyAlignment="1" applyProtection="1">
      <alignment wrapText="1"/>
    </xf>
    <xf numFmtId="43" fontId="41" fillId="2" borderId="0" xfId="0" applyNumberFormat="1" applyFont="1" applyFill="1" applyBorder="1" applyProtection="1">
      <protection locked="0"/>
    </xf>
    <xf numFmtId="43" fontId="15" fillId="0" borderId="1" xfId="1" applyNumberFormat="1" applyFont="1" applyFill="1" applyBorder="1"/>
    <xf numFmtId="8" fontId="16" fillId="0" borderId="1" xfId="1" applyNumberFormat="1" applyFont="1" applyFill="1" applyBorder="1"/>
    <xf numFmtId="49" fontId="16" fillId="0" borderId="0" xfId="16" applyNumberFormat="1" applyFont="1" applyFill="1" applyAlignment="1" applyProtection="1">
      <alignment wrapText="1" shrinkToFit="1"/>
    </xf>
    <xf numFmtId="0" fontId="37" fillId="0" borderId="0" xfId="0" applyFont="1" applyFill="1" applyBorder="1" applyProtection="1">
      <protection locked="0"/>
    </xf>
    <xf numFmtId="9" fontId="16" fillId="0" borderId="0" xfId="35" applyFont="1" applyFill="1" applyProtection="1"/>
    <xf numFmtId="49" fontId="17" fillId="0" borderId="0" xfId="16" applyNumberFormat="1" applyFont="1" applyFill="1" applyAlignment="1" applyProtection="1">
      <alignment horizontal="center" wrapText="1"/>
    </xf>
    <xf numFmtId="49" fontId="17" fillId="0" borderId="0" xfId="16" applyNumberFormat="1" applyFont="1" applyFill="1" applyAlignment="1" applyProtection="1">
      <alignment horizontal="center"/>
    </xf>
    <xf numFmtId="0" fontId="15" fillId="0" borderId="0" xfId="16" applyFont="1" applyFill="1" applyProtection="1"/>
    <xf numFmtId="0" fontId="16" fillId="0" borderId="0" xfId="16" applyFont="1" applyFill="1" applyProtection="1"/>
    <xf numFmtId="49" fontId="15" fillId="0" borderId="8" xfId="16" applyNumberFormat="1" applyFont="1" applyFill="1" applyBorder="1" applyAlignment="1" applyProtection="1">
      <alignment wrapText="1"/>
    </xf>
    <xf numFmtId="43" fontId="15" fillId="0" borderId="8" xfId="16" applyNumberFormat="1" applyFont="1" applyFill="1" applyBorder="1" applyProtection="1"/>
    <xf numFmtId="0" fontId="15" fillId="0" borderId="8" xfId="16" applyFont="1" applyFill="1" applyBorder="1" applyProtection="1"/>
    <xf numFmtId="43" fontId="16" fillId="0" borderId="0" xfId="16" applyNumberFormat="1" applyFont="1" applyFill="1" applyAlignment="1" applyProtection="1">
      <alignment wrapText="1"/>
    </xf>
    <xf numFmtId="43" fontId="17" fillId="0" borderId="0" xfId="16" applyNumberFormat="1" applyFont="1" applyFill="1" applyAlignment="1" applyProtection="1">
      <alignment horizontal="center"/>
    </xf>
    <xf numFmtId="49" fontId="43" fillId="0" borderId="0" xfId="34" applyNumberFormat="1" applyFont="1" applyAlignment="1">
      <alignment horizontal="center" wrapText="1"/>
    </xf>
    <xf numFmtId="49" fontId="43" fillId="0" borderId="0" xfId="34" applyNumberFormat="1" applyFont="1" applyAlignment="1">
      <alignment horizontal="center"/>
    </xf>
    <xf numFmtId="43" fontId="43" fillId="0" borderId="0" xfId="34" applyNumberFormat="1" applyFont="1" applyAlignment="1">
      <alignment horizontal="center"/>
    </xf>
    <xf numFmtId="49" fontId="45" fillId="5" borderId="0" xfId="34" applyNumberFormat="1" applyFont="1" applyFill="1" applyAlignment="1">
      <alignment horizontal="left" wrapText="1"/>
    </xf>
    <xf numFmtId="49" fontId="43" fillId="5" borderId="0" xfId="34" applyNumberFormat="1" applyFont="1" applyFill="1" applyAlignment="1">
      <alignment horizontal="center"/>
    </xf>
    <xf numFmtId="43" fontId="44" fillId="5" borderId="0" xfId="34" applyNumberFormat="1" applyFont="1" applyFill="1" applyAlignment="1">
      <alignment horizontal="center"/>
    </xf>
    <xf numFmtId="49" fontId="44" fillId="0" borderId="0" xfId="34" applyNumberFormat="1" applyFont="1" applyAlignment="1">
      <alignment wrapText="1"/>
    </xf>
    <xf numFmtId="43" fontId="44" fillId="0" borderId="0" xfId="34" applyNumberFormat="1" applyFont="1"/>
    <xf numFmtId="43" fontId="44" fillId="0" borderId="0" xfId="34" applyNumberFormat="1" applyFont="1" applyFill="1"/>
    <xf numFmtId="0" fontId="44" fillId="0" borderId="0" xfId="34" applyFont="1"/>
    <xf numFmtId="49" fontId="44" fillId="0" borderId="0" xfId="34" applyNumberFormat="1" applyFont="1"/>
    <xf numFmtId="43" fontId="44" fillId="5" borderId="0" xfId="34" applyNumberFormat="1" applyFont="1" applyFill="1"/>
    <xf numFmtId="49" fontId="44" fillId="0" borderId="0" xfId="34" applyNumberFormat="1" applyFont="1" applyAlignment="1">
      <alignment horizontal="left" wrapText="1" indent="2"/>
    </xf>
    <xf numFmtId="49" fontId="45" fillId="5" borderId="0" xfId="34" applyNumberFormat="1" applyFont="1" applyFill="1" applyAlignment="1">
      <alignment wrapText="1"/>
    </xf>
    <xf numFmtId="49" fontId="44" fillId="0" borderId="0" xfId="34" applyNumberFormat="1" applyFont="1" applyAlignment="1">
      <alignment horizontal="left" shrinkToFit="1"/>
    </xf>
    <xf numFmtId="49" fontId="45" fillId="0" borderId="8" xfId="34" applyNumberFormat="1" applyFont="1" applyBorder="1" applyAlignment="1">
      <alignment wrapText="1"/>
    </xf>
    <xf numFmtId="43" fontId="45" fillId="0" borderId="8" xfId="34" applyNumberFormat="1" applyFont="1" applyBorder="1"/>
    <xf numFmtId="0" fontId="45" fillId="0" borderId="8" xfId="34" applyFont="1" applyBorder="1"/>
    <xf numFmtId="0" fontId="36" fillId="2" borderId="0" xfId="0" applyFont="1" applyFill="1" applyBorder="1" applyAlignment="1" applyProtection="1">
      <alignment horizontal="left" vertical="center" wrapText="1"/>
      <protection locked="0"/>
    </xf>
    <xf numFmtId="44" fontId="35" fillId="2" borderId="0" xfId="0" applyNumberFormat="1" applyFont="1" applyFill="1" applyBorder="1" applyAlignment="1" applyProtection="1">
      <alignment wrapText="1"/>
      <protection locked="0"/>
    </xf>
    <xf numFmtId="0" fontId="14" fillId="0" borderId="1" xfId="36" applyFont="1" applyFill="1" applyBorder="1" applyAlignment="1">
      <alignment horizontal="center"/>
    </xf>
    <xf numFmtId="43" fontId="14" fillId="0" borderId="1" xfId="36" applyNumberFormat="1" applyFont="1" applyFill="1" applyBorder="1" applyAlignment="1">
      <alignment horizontal="center"/>
    </xf>
    <xf numFmtId="0" fontId="14" fillId="0" borderId="1" xfId="36" applyFont="1" applyFill="1" applyBorder="1" applyAlignment="1">
      <alignment wrapText="1"/>
    </xf>
    <xf numFmtId="0" fontId="14" fillId="0" borderId="0" xfId="36" applyFont="1" applyFill="1"/>
    <xf numFmtId="0" fontId="15" fillId="0" borderId="1" xfId="36" applyFont="1" applyFill="1" applyBorder="1"/>
    <xf numFmtId="43" fontId="16" fillId="0" borderId="1" xfId="36" applyNumberFormat="1" applyFont="1" applyFill="1" applyBorder="1"/>
    <xf numFmtId="0" fontId="16" fillId="0" borderId="1" xfId="36" applyFont="1" applyFill="1" applyBorder="1" applyAlignment="1">
      <alignment wrapText="1"/>
    </xf>
    <xf numFmtId="0" fontId="16" fillId="0" borderId="1" xfId="36" applyFont="1" applyFill="1" applyBorder="1"/>
    <xf numFmtId="43" fontId="15" fillId="0" borderId="1" xfId="36" applyNumberFormat="1" applyFont="1" applyFill="1" applyBorder="1"/>
    <xf numFmtId="0" fontId="40" fillId="0" borderId="1" xfId="36" applyFont="1" applyFill="1" applyBorder="1" applyAlignment="1">
      <alignment wrapText="1"/>
    </xf>
    <xf numFmtId="49" fontId="15" fillId="0" borderId="1" xfId="36" applyNumberFormat="1" applyFont="1" applyFill="1" applyBorder="1"/>
    <xf numFmtId="49" fontId="16" fillId="0" borderId="1" xfId="36" applyNumberFormat="1" applyFont="1" applyFill="1" applyBorder="1"/>
    <xf numFmtId="0" fontId="16" fillId="0" borderId="1" xfId="36" applyFont="1" applyFill="1" applyBorder="1" applyAlignment="1">
      <alignment horizontal="left" indent="1"/>
    </xf>
    <xf numFmtId="0" fontId="16" fillId="0" borderId="7" xfId="36" applyFont="1" applyFill="1" applyBorder="1"/>
    <xf numFmtId="43" fontId="16" fillId="0" borderId="0" xfId="36" applyNumberFormat="1" applyFont="1" applyFill="1"/>
    <xf numFmtId="0" fontId="16" fillId="0" borderId="0" xfId="36" applyFont="1" applyFill="1" applyAlignment="1">
      <alignment wrapText="1"/>
    </xf>
    <xf numFmtId="0" fontId="18" fillId="0" borderId="0" xfId="36" applyFont="1" applyFill="1"/>
    <xf numFmtId="43" fontId="16" fillId="0" borderId="1" xfId="36" applyNumberFormat="1" applyFont="1" applyFill="1" applyBorder="1" applyAlignment="1">
      <alignment wrapText="1"/>
    </xf>
    <xf numFmtId="43" fontId="14" fillId="0" borderId="0" xfId="36" applyNumberFormat="1" applyFont="1" applyFill="1"/>
    <xf numFmtId="43" fontId="16" fillId="6" borderId="1" xfId="1" applyNumberFormat="1" applyFont="1" applyFill="1" applyBorder="1"/>
    <xf numFmtId="0" fontId="16" fillId="0" borderId="1" xfId="0" applyFont="1" applyFill="1" applyBorder="1"/>
    <xf numFmtId="0" fontId="40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49" fontId="44" fillId="0" borderId="0" xfId="34" applyNumberFormat="1" applyFont="1" applyAlignment="1">
      <alignment horizontal="left" wrapText="1" shrinkToFit="1"/>
    </xf>
    <xf numFmtId="43" fontId="16" fillId="0" borderId="8" xfId="16" applyNumberFormat="1" applyFont="1" applyFill="1" applyBorder="1" applyProtection="1"/>
    <xf numFmtId="49" fontId="44" fillId="0" borderId="0" xfId="34" applyNumberFormat="1" applyFont="1" applyFill="1" applyAlignment="1">
      <alignment wrapText="1"/>
    </xf>
    <xf numFmtId="49" fontId="44" fillId="0" borderId="0" xfId="34" applyNumberFormat="1" applyFont="1" applyFill="1"/>
    <xf numFmtId="0" fontId="35" fillId="2" borderId="0" xfId="0" applyFont="1" applyFill="1" applyBorder="1" applyAlignment="1" applyProtection="1">
      <alignment wrapText="1"/>
      <protection locked="0"/>
    </xf>
    <xf numFmtId="49" fontId="44" fillId="0" borderId="0" xfId="34" applyNumberFormat="1" applyFont="1" applyAlignment="1">
      <alignment horizontal="left" indent="2" shrinkToFit="1"/>
    </xf>
    <xf numFmtId="43" fontId="15" fillId="0" borderId="0" xfId="16" applyNumberFormat="1" applyFont="1" applyFill="1" applyProtection="1"/>
    <xf numFmtId="0" fontId="35" fillId="2" borderId="9" xfId="0" applyFont="1" applyFill="1" applyBorder="1" applyAlignment="1" applyProtection="1">
      <alignment wrapText="1"/>
      <protection locked="0"/>
    </xf>
    <xf numFmtId="0" fontId="36" fillId="2" borderId="14" xfId="0" applyFont="1" applyFill="1" applyBorder="1" applyAlignment="1" applyProtection="1">
      <alignment horizontal="center" vertical="center" wrapText="1"/>
      <protection locked="0"/>
    </xf>
    <xf numFmtId="44" fontId="35" fillId="2" borderId="16" xfId="1" applyFont="1" applyFill="1" applyBorder="1" applyAlignment="1" applyProtection="1">
      <protection locked="0"/>
    </xf>
    <xf numFmtId="44" fontId="35" fillId="2" borderId="16" xfId="1" applyFont="1" applyFill="1" applyBorder="1" applyProtection="1">
      <protection locked="0"/>
    </xf>
    <xf numFmtId="0" fontId="36" fillId="2" borderId="15" xfId="0" applyFont="1" applyFill="1" applyBorder="1" applyAlignment="1" applyProtection="1">
      <alignment horizontal="right"/>
      <protection locked="0"/>
    </xf>
    <xf numFmtId="44" fontId="36" fillId="2" borderId="17" xfId="1" applyFont="1" applyFill="1" applyBorder="1" applyProtection="1">
      <protection locked="0"/>
    </xf>
    <xf numFmtId="44" fontId="35" fillId="2" borderId="18" xfId="0" applyNumberFormat="1" applyFont="1" applyFill="1" applyBorder="1" applyProtection="1">
      <protection locked="0"/>
    </xf>
    <xf numFmtId="44" fontId="35" fillId="2" borderId="16" xfId="0" applyNumberFormat="1" applyFont="1" applyFill="1" applyBorder="1" applyProtection="1">
      <protection locked="0"/>
    </xf>
    <xf numFmtId="44" fontId="35" fillId="2" borderId="19" xfId="1" applyFont="1" applyFill="1" applyBorder="1" applyProtection="1">
      <protection locked="0"/>
    </xf>
    <xf numFmtId="0" fontId="36" fillId="2" borderId="21" xfId="0" applyFont="1" applyFill="1" applyBorder="1" applyProtection="1">
      <protection locked="0"/>
    </xf>
    <xf numFmtId="0" fontId="36" fillId="2" borderId="14" xfId="0" applyFont="1" applyFill="1" applyBorder="1" applyAlignment="1">
      <alignment horizontal="center" vertical="center" wrapText="1"/>
    </xf>
    <xf numFmtId="0" fontId="36" fillId="2" borderId="15" xfId="0" applyFont="1" applyFill="1" applyBorder="1"/>
    <xf numFmtId="44" fontId="35" fillId="2" borderId="16" xfId="1" applyFont="1" applyFill="1" applyBorder="1"/>
    <xf numFmtId="0" fontId="35" fillId="2" borderId="15" xfId="0" applyFont="1" applyFill="1" applyBorder="1"/>
    <xf numFmtId="0" fontId="36" fillId="2" borderId="15" xfId="0" applyFont="1" applyFill="1" applyBorder="1" applyAlignment="1">
      <alignment horizontal="right"/>
    </xf>
    <xf numFmtId="44" fontId="36" fillId="2" borderId="17" xfId="1" applyFont="1" applyFill="1" applyBorder="1"/>
    <xf numFmtId="0" fontId="36" fillId="3" borderId="15" xfId="0" applyFont="1" applyFill="1" applyBorder="1"/>
    <xf numFmtId="0" fontId="35" fillId="2" borderId="15" xfId="0" applyFont="1" applyFill="1" applyBorder="1" applyProtection="1">
      <protection locked="0"/>
    </xf>
    <xf numFmtId="44" fontId="39" fillId="2" borderId="16" xfId="1" applyFont="1" applyFill="1" applyBorder="1"/>
    <xf numFmtId="0" fontId="36" fillId="2" borderId="20" xfId="0" applyFont="1" applyFill="1" applyBorder="1"/>
    <xf numFmtId="0" fontId="47" fillId="2" borderId="13" xfId="0" applyFont="1" applyFill="1" applyBorder="1" applyAlignment="1">
      <alignment vertical="center"/>
    </xf>
    <xf numFmtId="0" fontId="36" fillId="2" borderId="20" xfId="0" applyFont="1" applyFill="1" applyBorder="1" applyAlignment="1" applyProtection="1">
      <alignment horizontal="right"/>
      <protection locked="0"/>
    </xf>
    <xf numFmtId="44" fontId="36" fillId="2" borderId="22" xfId="1" applyFont="1" applyFill="1" applyBorder="1"/>
    <xf numFmtId="44" fontId="36" fillId="0" borderId="22" xfId="1" applyFont="1" applyFill="1" applyBorder="1"/>
    <xf numFmtId="44" fontId="36" fillId="2" borderId="23" xfId="1" applyFont="1" applyFill="1" applyBorder="1"/>
    <xf numFmtId="0" fontId="35" fillId="2" borderId="0" xfId="0" applyFont="1" applyFill="1" applyBorder="1" applyAlignment="1" applyProtection="1">
      <alignment wrapText="1"/>
      <protection locked="0"/>
    </xf>
    <xf numFmtId="49" fontId="44" fillId="0" borderId="0" xfId="34" applyNumberFormat="1" applyFont="1" applyFill="1" applyAlignment="1">
      <alignment horizontal="left" wrapText="1"/>
    </xf>
    <xf numFmtId="0" fontId="36" fillId="2" borderId="15" xfId="0" applyFont="1" applyFill="1" applyBorder="1" applyAlignment="1" applyProtection="1">
      <alignment horizontal="left" indent="1"/>
      <protection locked="0"/>
    </xf>
    <xf numFmtId="0" fontId="36" fillId="2" borderId="15" xfId="0" applyFont="1" applyFill="1" applyBorder="1" applyProtection="1">
      <protection locked="0"/>
    </xf>
    <xf numFmtId="0" fontId="46" fillId="2" borderId="10" xfId="0" applyFont="1" applyFill="1" applyBorder="1" applyAlignment="1">
      <alignment horizontal="left" vertical="center" shrinkToFit="1"/>
    </xf>
    <xf numFmtId="0" fontId="46" fillId="2" borderId="11" xfId="0" applyFont="1" applyFill="1" applyBorder="1" applyAlignment="1">
      <alignment horizontal="left" vertical="center" shrinkToFit="1"/>
    </xf>
    <xf numFmtId="0" fontId="46" fillId="2" borderId="12" xfId="0" applyFont="1" applyFill="1" applyBorder="1" applyAlignment="1">
      <alignment horizontal="left" vertical="center" shrinkToFit="1"/>
    </xf>
    <xf numFmtId="0" fontId="46" fillId="2" borderId="10" xfId="0" applyFont="1" applyFill="1" applyBorder="1" applyAlignment="1" applyProtection="1">
      <alignment horizontal="left" vertical="center" shrinkToFit="1"/>
      <protection locked="0"/>
    </xf>
    <xf numFmtId="0" fontId="46" fillId="2" borderId="11" xfId="0" applyFont="1" applyFill="1" applyBorder="1" applyAlignment="1" applyProtection="1">
      <alignment horizontal="left" vertical="center" shrinkToFit="1"/>
      <protection locked="0"/>
    </xf>
    <xf numFmtId="0" fontId="46" fillId="2" borderId="12" xfId="0" applyFont="1" applyFill="1" applyBorder="1" applyAlignment="1" applyProtection="1">
      <alignment horizontal="left" vertical="center" shrinkToFit="1"/>
      <protection locked="0"/>
    </xf>
    <xf numFmtId="0" fontId="47" fillId="2" borderId="13" xfId="0" applyFont="1" applyFill="1" applyBorder="1" applyAlignment="1" applyProtection="1">
      <alignment horizontal="left" vertical="center"/>
      <protection locked="0"/>
    </xf>
    <xf numFmtId="0" fontId="47" fillId="2" borderId="1" xfId="0" applyFont="1" applyFill="1" applyBorder="1" applyAlignment="1" applyProtection="1">
      <alignment horizontal="left" vertical="center"/>
      <protection locked="0"/>
    </xf>
    <xf numFmtId="0" fontId="35" fillId="2" borderId="0" xfId="0" applyFont="1" applyFill="1" applyBorder="1" applyAlignment="1" applyProtection="1">
      <alignment wrapText="1"/>
      <protection locked="0"/>
    </xf>
    <xf numFmtId="0" fontId="35" fillId="2" borderId="0" xfId="0" applyFont="1" applyFill="1" applyAlignment="1" applyProtection="1">
      <alignment wrapText="1"/>
      <protection locked="0"/>
    </xf>
    <xf numFmtId="0" fontId="46" fillId="2" borderId="24" xfId="0" applyFont="1" applyFill="1" applyBorder="1" applyAlignment="1" applyProtection="1">
      <alignment horizontal="center" vertical="center" shrinkToFit="1"/>
      <protection locked="0"/>
    </xf>
    <xf numFmtId="0" fontId="46" fillId="2" borderId="3" xfId="0" applyFont="1" applyFill="1" applyBorder="1" applyAlignment="1" applyProtection="1">
      <alignment horizontal="center" vertical="center" shrinkToFit="1"/>
      <protection locked="0"/>
    </xf>
    <xf numFmtId="0" fontId="15" fillId="0" borderId="5" xfId="36" applyFont="1" applyFill="1" applyBorder="1" applyAlignment="1">
      <alignment horizontal="center"/>
    </xf>
    <xf numFmtId="0" fontId="15" fillId="0" borderId="6" xfId="36" applyFont="1" applyFill="1" applyBorder="1" applyAlignment="1">
      <alignment horizontal="center"/>
    </xf>
    <xf numFmtId="0" fontId="15" fillId="0" borderId="9" xfId="36" applyFont="1" applyFill="1" applyBorder="1" applyAlignment="1">
      <alignment horizontal="center"/>
    </xf>
  </cellXfs>
  <cellStyles count="37">
    <cellStyle name="Currency" xfId="1" builtinId="4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3"/>
    <cellStyle name="Normal 30" xfId="30"/>
    <cellStyle name="Normal 31" xfId="31"/>
    <cellStyle name="Normal 32" xfId="32"/>
    <cellStyle name="Normal 33" xfId="33"/>
    <cellStyle name="Normal 34" xfId="34"/>
    <cellStyle name="Normal 35" xfId="36"/>
    <cellStyle name="Normal 4" xfId="4"/>
    <cellStyle name="Normal 5" xfId="5"/>
    <cellStyle name="Normal 6" xfId="6"/>
    <cellStyle name="Normal 7" xfId="7"/>
    <cellStyle name="Normal 8" xfId="8"/>
    <cellStyle name="Normal 9" xfId="9"/>
    <cellStyle name="Percent" xfId="3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16240125" y="3657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5972175</xdr:colOff>
      <xdr:row>1</xdr:row>
      <xdr:rowOff>685800</xdr:rowOff>
    </xdr:from>
    <xdr:ext cx="184731" cy="264560"/>
    <xdr:sp macro="" textlink="">
      <xdr:nvSpPr>
        <xdr:cNvPr id="2" name="TextBox 1"/>
        <xdr:cNvSpPr txBox="1"/>
      </xdr:nvSpPr>
      <xdr:spPr>
        <a:xfrm>
          <a:off x="22202775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5972175</xdr:colOff>
      <xdr:row>1</xdr:row>
      <xdr:rowOff>685800</xdr:rowOff>
    </xdr:from>
    <xdr:ext cx="184731" cy="264560"/>
    <xdr:sp macro="" textlink="">
      <xdr:nvSpPr>
        <xdr:cNvPr id="2" name="TextBox 1"/>
        <xdr:cNvSpPr txBox="1"/>
      </xdr:nvSpPr>
      <xdr:spPr>
        <a:xfrm>
          <a:off x="21459825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130"/>
  <sheetViews>
    <sheetView tabSelected="1" zoomScaleNormal="100" workbookViewId="0">
      <selection activeCell="G2" sqref="G2"/>
    </sheetView>
  </sheetViews>
  <sheetFormatPr defaultColWidth="9.140625" defaultRowHeight="20.100000000000001" customHeight="1" x14ac:dyDescent="0.2"/>
  <cols>
    <col min="1" max="1" width="11" style="9" customWidth="1"/>
    <col min="2" max="2" width="9.28515625" style="9" customWidth="1"/>
    <col min="3" max="4" width="9.28515625" style="10" customWidth="1"/>
    <col min="5" max="5" width="66.42578125" style="4" bestFit="1" customWidth="1"/>
    <col min="6" max="6" width="27.5703125" style="4" customWidth="1"/>
    <col min="7" max="7" width="29.7109375" style="4" customWidth="1"/>
    <col min="8" max="8" width="28.42578125" style="4" customWidth="1"/>
    <col min="9" max="9" width="27.140625" style="4" bestFit="1" customWidth="1"/>
    <col min="10" max="10" width="36.85546875" style="4" customWidth="1"/>
    <col min="11" max="11" width="13.42578125" style="4" bestFit="1" customWidth="1"/>
    <col min="12" max="12" width="17.140625" style="4" customWidth="1"/>
    <col min="13" max="13" width="15.5703125" style="4" bestFit="1" customWidth="1"/>
    <col min="14" max="14" width="11.85546875" style="4" bestFit="1" customWidth="1"/>
    <col min="15" max="16" width="9.140625" style="4"/>
    <col min="17" max="17" width="12.85546875" style="4" bestFit="1" customWidth="1"/>
    <col min="18" max="18" width="9.140625" style="4"/>
    <col min="19" max="19" width="11.85546875" style="4" bestFit="1" customWidth="1"/>
    <col min="20" max="20" width="18.28515625" style="4" customWidth="1"/>
    <col min="21" max="16384" width="9.140625" style="4"/>
  </cols>
  <sheetData>
    <row r="1" spans="1:10" ht="30.75" customHeight="1" x14ac:dyDescent="0.2">
      <c r="A1" s="2"/>
      <c r="B1" s="3"/>
      <c r="C1" s="3"/>
      <c r="D1" s="3"/>
      <c r="E1" s="144" t="s">
        <v>581</v>
      </c>
      <c r="F1" s="145"/>
      <c r="G1" s="145"/>
      <c r="H1" s="145"/>
      <c r="I1" s="145"/>
      <c r="J1" s="146"/>
    </row>
    <row r="2" spans="1:10" ht="68.25" customHeight="1" x14ac:dyDescent="0.2">
      <c r="A2" s="5" t="s">
        <v>272</v>
      </c>
      <c r="B2" s="6" t="s">
        <v>1</v>
      </c>
      <c r="C2" s="6" t="s">
        <v>17</v>
      </c>
      <c r="D2" s="6" t="s">
        <v>18</v>
      </c>
      <c r="E2" s="135" t="s">
        <v>550</v>
      </c>
      <c r="F2" s="7" t="s">
        <v>540</v>
      </c>
      <c r="G2" s="7" t="s">
        <v>667</v>
      </c>
      <c r="H2" s="7" t="s">
        <v>669</v>
      </c>
      <c r="I2" s="7" t="s">
        <v>582</v>
      </c>
      <c r="J2" s="125" t="s">
        <v>583</v>
      </c>
    </row>
    <row r="3" spans="1:10" ht="21" customHeight="1" x14ac:dyDescent="0.25">
      <c r="A3" s="8"/>
      <c r="E3" s="126"/>
      <c r="F3" s="48"/>
      <c r="G3" s="11"/>
      <c r="I3" s="11" t="s">
        <v>0</v>
      </c>
      <c r="J3" s="127"/>
    </row>
    <row r="4" spans="1:10" ht="21" hidden="1" customHeight="1" x14ac:dyDescent="0.2">
      <c r="A4" s="8" t="s">
        <v>294</v>
      </c>
      <c r="B4" s="9" t="s">
        <v>55</v>
      </c>
      <c r="E4" s="126" t="s">
        <v>422</v>
      </c>
      <c r="F4" s="11">
        <v>0</v>
      </c>
      <c r="G4" s="11">
        <f>H4-F4</f>
        <v>0</v>
      </c>
      <c r="H4" s="11">
        <v>0</v>
      </c>
      <c r="I4" s="11">
        <f>J4-H4</f>
        <v>0</v>
      </c>
      <c r="J4" s="127">
        <v>0</v>
      </c>
    </row>
    <row r="5" spans="1:10" ht="21" customHeight="1" x14ac:dyDescent="0.2">
      <c r="A5" s="8">
        <v>3191</v>
      </c>
      <c r="B5" s="9">
        <v>9001</v>
      </c>
      <c r="E5" s="128" t="s">
        <v>94</v>
      </c>
      <c r="F5" s="11">
        <v>200000</v>
      </c>
      <c r="G5" s="11">
        <f>H5-F5</f>
        <v>0</v>
      </c>
      <c r="H5" s="11">
        <v>200000</v>
      </c>
      <c r="I5" s="11">
        <f>J5-H5</f>
        <v>0</v>
      </c>
      <c r="J5" s="127">
        <v>200000</v>
      </c>
    </row>
    <row r="6" spans="1:10" ht="21" hidden="1" customHeight="1" x14ac:dyDescent="0.2">
      <c r="A6" s="8">
        <v>3199</v>
      </c>
      <c r="B6" s="9" t="s">
        <v>273</v>
      </c>
      <c r="C6" s="10" t="s">
        <v>274</v>
      </c>
      <c r="D6" s="10" t="s">
        <v>275</v>
      </c>
      <c r="E6" s="128" t="s">
        <v>95</v>
      </c>
      <c r="F6" s="11">
        <v>0</v>
      </c>
      <c r="G6" s="11">
        <f>H6-F6</f>
        <v>0</v>
      </c>
      <c r="H6" s="11">
        <v>0</v>
      </c>
      <c r="I6" s="11">
        <f>J6-H6</f>
        <v>0</v>
      </c>
      <c r="J6" s="127"/>
    </row>
    <row r="7" spans="1:10" ht="21" hidden="1" customHeight="1" x14ac:dyDescent="0.2">
      <c r="A7" s="8" t="s">
        <v>108</v>
      </c>
      <c r="B7" s="9" t="s">
        <v>55</v>
      </c>
      <c r="C7" s="10" t="s">
        <v>290</v>
      </c>
      <c r="E7" s="128" t="s">
        <v>109</v>
      </c>
      <c r="F7" s="11">
        <v>0</v>
      </c>
      <c r="G7" s="11">
        <f>H7-F7</f>
        <v>0</v>
      </c>
      <c r="H7" s="11"/>
      <c r="I7" s="11">
        <f>J7-H7</f>
        <v>0</v>
      </c>
      <c r="J7" s="127"/>
    </row>
    <row r="8" spans="1:10" s="17" customFormat="1" ht="18.75" customHeight="1" thickBot="1" x14ac:dyDescent="0.25">
      <c r="A8" s="13"/>
      <c r="B8" s="14"/>
      <c r="C8" s="15"/>
      <c r="D8" s="15"/>
      <c r="E8" s="129" t="s">
        <v>26</v>
      </c>
      <c r="F8" s="16">
        <f>SUBTOTAL(9,F4:F7)</f>
        <v>200000</v>
      </c>
      <c r="G8" s="16">
        <f>H8-F8</f>
        <v>0</v>
      </c>
      <c r="H8" s="16">
        <f>SUBTOTAL(9,H4:H7)</f>
        <v>200000</v>
      </c>
      <c r="I8" s="16">
        <f>J8-H8</f>
        <v>0</v>
      </c>
      <c r="J8" s="130">
        <f>SUBTOTAL(9,J4:J7)</f>
        <v>200000</v>
      </c>
    </row>
    <row r="9" spans="1:10" ht="21" customHeight="1" thickTop="1" x14ac:dyDescent="0.2">
      <c r="A9" s="8"/>
      <c r="E9" s="126" t="s">
        <v>28</v>
      </c>
      <c r="F9" s="11"/>
      <c r="G9" s="11"/>
      <c r="H9" s="11"/>
      <c r="I9" s="11"/>
      <c r="J9" s="127"/>
    </row>
    <row r="10" spans="1:10" ht="21" customHeight="1" x14ac:dyDescent="0.2">
      <c r="A10" s="8">
        <v>3202</v>
      </c>
      <c r="B10" s="9">
        <v>9001</v>
      </c>
      <c r="E10" s="128" t="s">
        <v>90</v>
      </c>
      <c r="F10" s="11"/>
      <c r="G10" s="11">
        <f>H10-F10</f>
        <v>0</v>
      </c>
      <c r="H10" s="11">
        <v>0</v>
      </c>
      <c r="I10" s="11">
        <f>J10-H10</f>
        <v>0</v>
      </c>
      <c r="J10" s="127"/>
    </row>
    <row r="11" spans="1:10" ht="21" customHeight="1" thickBot="1" x14ac:dyDescent="0.25">
      <c r="A11" s="8"/>
      <c r="E11" s="129" t="s">
        <v>220</v>
      </c>
      <c r="F11" s="16">
        <f>SUBTOTAL(9,F8:F10)</f>
        <v>0</v>
      </c>
      <c r="G11" s="16">
        <f>H11-F11</f>
        <v>0</v>
      </c>
      <c r="H11" s="16">
        <f>SUBTOTAL(9,H8:H10)</f>
        <v>0</v>
      </c>
      <c r="I11" s="16">
        <f>J11-H11</f>
        <v>0</v>
      </c>
      <c r="J11" s="130"/>
    </row>
    <row r="12" spans="1:10" ht="21" customHeight="1" thickTop="1" x14ac:dyDescent="0.2">
      <c r="A12" s="8"/>
      <c r="E12" s="126" t="s">
        <v>3</v>
      </c>
      <c r="F12" s="11"/>
      <c r="G12" s="11"/>
      <c r="H12" s="11"/>
      <c r="I12" s="11"/>
      <c r="J12" s="127"/>
    </row>
    <row r="13" spans="1:10" ht="21" customHeight="1" x14ac:dyDescent="0.2">
      <c r="A13" s="8">
        <v>3310</v>
      </c>
      <c r="B13" s="9">
        <v>9001</v>
      </c>
      <c r="E13" s="128" t="s">
        <v>4</v>
      </c>
      <c r="F13" s="11">
        <v>111405172</v>
      </c>
      <c r="G13" s="11">
        <f t="shared" ref="G13:G39" si="0">H13-F13</f>
        <v>0</v>
      </c>
      <c r="H13" s="11">
        <v>111405172</v>
      </c>
      <c r="I13" s="11">
        <f t="shared" ref="I13:I102" si="1">J13-H13</f>
        <v>0</v>
      </c>
      <c r="J13" s="127">
        <v>111405172</v>
      </c>
    </row>
    <row r="14" spans="1:10" ht="21" hidden="1" customHeight="1" x14ac:dyDescent="0.2">
      <c r="A14" s="8">
        <v>3315</v>
      </c>
      <c r="B14" s="9" t="s">
        <v>36</v>
      </c>
      <c r="E14" s="128" t="s">
        <v>30</v>
      </c>
      <c r="F14" s="11">
        <v>0</v>
      </c>
      <c r="G14" s="11">
        <f t="shared" si="0"/>
        <v>0</v>
      </c>
      <c r="H14" s="11"/>
      <c r="I14" s="11">
        <f t="shared" si="1"/>
        <v>0</v>
      </c>
      <c r="J14" s="127"/>
    </row>
    <row r="15" spans="1:10" ht="21" hidden="1" customHeight="1" x14ac:dyDescent="0.2">
      <c r="A15" s="8" t="s">
        <v>210</v>
      </c>
      <c r="B15" s="9" t="s">
        <v>36</v>
      </c>
      <c r="E15" s="128" t="s">
        <v>243</v>
      </c>
      <c r="F15" s="11">
        <v>0</v>
      </c>
      <c r="G15" s="11">
        <v>0</v>
      </c>
      <c r="H15" s="11"/>
      <c r="I15" s="11">
        <f t="shared" si="1"/>
        <v>0</v>
      </c>
      <c r="J15" s="127"/>
    </row>
    <row r="16" spans="1:10" ht="21" hidden="1" customHeight="1" x14ac:dyDescent="0.2">
      <c r="A16" s="8" t="s">
        <v>37</v>
      </c>
      <c r="B16" s="9" t="s">
        <v>36</v>
      </c>
      <c r="E16" s="128" t="s">
        <v>38</v>
      </c>
      <c r="F16" s="11">
        <v>0</v>
      </c>
      <c r="G16" s="11">
        <f t="shared" si="0"/>
        <v>0</v>
      </c>
      <c r="H16" s="11"/>
      <c r="I16" s="11">
        <f t="shared" si="1"/>
        <v>0</v>
      </c>
      <c r="J16" s="127"/>
    </row>
    <row r="17" spans="1:11" ht="21" hidden="1" customHeight="1" x14ac:dyDescent="0.2">
      <c r="A17" s="8" t="s">
        <v>186</v>
      </c>
      <c r="B17" s="9">
        <v>9001</v>
      </c>
      <c r="E17" s="128" t="s">
        <v>5</v>
      </c>
      <c r="F17" s="11">
        <v>0</v>
      </c>
      <c r="G17" s="11">
        <f t="shared" si="0"/>
        <v>0</v>
      </c>
      <c r="H17" s="11"/>
      <c r="I17" s="11">
        <f t="shared" si="1"/>
        <v>0</v>
      </c>
      <c r="J17" s="127"/>
    </row>
    <row r="18" spans="1:11" ht="21" hidden="1" customHeight="1" x14ac:dyDescent="0.2">
      <c r="A18" s="8">
        <v>3334</v>
      </c>
      <c r="B18" s="9">
        <v>9750</v>
      </c>
      <c r="E18" s="128" t="s">
        <v>184</v>
      </c>
      <c r="F18" s="11">
        <v>0</v>
      </c>
      <c r="G18" s="11">
        <f t="shared" si="0"/>
        <v>0</v>
      </c>
      <c r="H18" s="11"/>
      <c r="I18" s="11">
        <f t="shared" si="1"/>
        <v>0</v>
      </c>
      <c r="J18" s="127"/>
    </row>
    <row r="19" spans="1:11" ht="21" hidden="1" customHeight="1" x14ac:dyDescent="0.2">
      <c r="A19" s="8">
        <v>3336</v>
      </c>
      <c r="B19" s="9">
        <v>9001</v>
      </c>
      <c r="E19" s="128" t="s">
        <v>6</v>
      </c>
      <c r="F19" s="11">
        <v>0</v>
      </c>
      <c r="G19" s="11">
        <f t="shared" si="0"/>
        <v>0</v>
      </c>
      <c r="H19" s="11"/>
      <c r="I19" s="11">
        <f t="shared" si="1"/>
        <v>0</v>
      </c>
      <c r="J19" s="127"/>
    </row>
    <row r="20" spans="1:11" ht="21" customHeight="1" x14ac:dyDescent="0.2">
      <c r="A20" s="8">
        <v>3341</v>
      </c>
      <c r="B20" s="9">
        <v>9001</v>
      </c>
      <c r="E20" s="128" t="s">
        <v>7</v>
      </c>
      <c r="F20" s="11">
        <v>206750</v>
      </c>
      <c r="G20" s="11">
        <f t="shared" si="0"/>
        <v>0</v>
      </c>
      <c r="H20" s="11">
        <v>206750</v>
      </c>
      <c r="I20" s="11">
        <f t="shared" si="1"/>
        <v>0</v>
      </c>
      <c r="J20" s="127">
        <v>206750</v>
      </c>
    </row>
    <row r="21" spans="1:11" ht="21" customHeight="1" x14ac:dyDescent="0.2">
      <c r="A21" s="8">
        <v>3343</v>
      </c>
      <c r="B21" s="9">
        <v>9001</v>
      </c>
      <c r="E21" s="128" t="s">
        <v>170</v>
      </c>
      <c r="F21" s="11">
        <v>67000</v>
      </c>
      <c r="G21" s="11">
        <f t="shared" si="0"/>
        <v>0</v>
      </c>
      <c r="H21" s="11">
        <v>67000</v>
      </c>
      <c r="I21" s="11">
        <f t="shared" si="1"/>
        <v>0</v>
      </c>
      <c r="J21" s="127">
        <v>67000</v>
      </c>
    </row>
    <row r="22" spans="1:11" ht="21" customHeight="1" x14ac:dyDescent="0.2">
      <c r="A22" s="8" t="s">
        <v>266</v>
      </c>
      <c r="B22" s="9">
        <v>9001</v>
      </c>
      <c r="E22" s="128" t="s">
        <v>8</v>
      </c>
      <c r="F22" s="11">
        <v>660382</v>
      </c>
      <c r="G22" s="11">
        <f t="shared" si="0"/>
        <v>0</v>
      </c>
      <c r="H22" s="11">
        <v>660382</v>
      </c>
      <c r="I22" s="11">
        <f t="shared" si="1"/>
        <v>-303331</v>
      </c>
      <c r="J22" s="127">
        <v>357051</v>
      </c>
    </row>
    <row r="23" spans="1:11" ht="21" hidden="1" customHeight="1" x14ac:dyDescent="0.2">
      <c r="A23" s="8">
        <v>3354</v>
      </c>
      <c r="B23" s="9">
        <v>9001</v>
      </c>
      <c r="E23" s="128" t="s">
        <v>9</v>
      </c>
      <c r="F23" s="11">
        <v>0</v>
      </c>
      <c r="G23" s="11">
        <f t="shared" si="0"/>
        <v>0</v>
      </c>
      <c r="H23" s="11"/>
      <c r="I23" s="11">
        <f t="shared" si="1"/>
        <v>0</v>
      </c>
      <c r="J23" s="127"/>
    </row>
    <row r="24" spans="1:11" ht="21" customHeight="1" x14ac:dyDescent="0.2">
      <c r="A24" s="8">
        <v>3355</v>
      </c>
      <c r="B24" s="9">
        <v>9001</v>
      </c>
      <c r="E24" s="128" t="s">
        <v>33</v>
      </c>
      <c r="F24" s="11">
        <v>42175179</v>
      </c>
      <c r="G24" s="11">
        <f t="shared" si="0"/>
        <v>0</v>
      </c>
      <c r="H24" s="11">
        <v>42175179</v>
      </c>
      <c r="I24" s="11">
        <f t="shared" si="1"/>
        <v>0</v>
      </c>
      <c r="J24" s="127">
        <v>42175179</v>
      </c>
    </row>
    <row r="25" spans="1:11" ht="21" customHeight="1" x14ac:dyDescent="0.2">
      <c r="A25" s="8">
        <v>3361</v>
      </c>
      <c r="B25" s="9">
        <v>9001</v>
      </c>
      <c r="C25" s="10" t="s">
        <v>323</v>
      </c>
      <c r="E25" s="128" t="s">
        <v>183</v>
      </c>
      <c r="F25" s="11">
        <v>2687277</v>
      </c>
      <c r="G25" s="11">
        <f t="shared" si="0"/>
        <v>0</v>
      </c>
      <c r="H25" s="11">
        <v>2687277</v>
      </c>
      <c r="I25" s="11">
        <f t="shared" si="1"/>
        <v>303331</v>
      </c>
      <c r="J25" s="127">
        <v>2990608</v>
      </c>
    </row>
    <row r="26" spans="1:11" ht="21" hidden="1" customHeight="1" x14ac:dyDescent="0.2">
      <c r="A26" s="8">
        <v>3363</v>
      </c>
      <c r="B26" s="9">
        <v>9001</v>
      </c>
      <c r="E26" s="128" t="s">
        <v>16</v>
      </c>
      <c r="F26" s="11">
        <v>0</v>
      </c>
      <c r="G26" s="11">
        <f t="shared" si="0"/>
        <v>0</v>
      </c>
      <c r="H26" s="11"/>
      <c r="I26" s="11">
        <f t="shared" si="1"/>
        <v>0</v>
      </c>
      <c r="J26" s="127"/>
    </row>
    <row r="27" spans="1:11" ht="21" customHeight="1" x14ac:dyDescent="0.2">
      <c r="A27" s="8" t="s">
        <v>139</v>
      </c>
      <c r="B27" s="9" t="s">
        <v>405</v>
      </c>
      <c r="C27" s="10" t="s">
        <v>306</v>
      </c>
      <c r="E27" s="128" t="s">
        <v>407</v>
      </c>
      <c r="F27" s="11">
        <v>0</v>
      </c>
      <c r="G27" s="11">
        <f t="shared" si="0"/>
        <v>48000</v>
      </c>
      <c r="H27" s="11">
        <v>48000</v>
      </c>
      <c r="I27" s="11">
        <f t="shared" si="1"/>
        <v>0</v>
      </c>
      <c r="J27" s="127">
        <v>48000</v>
      </c>
      <c r="K27" s="4" t="s">
        <v>0</v>
      </c>
    </row>
    <row r="28" spans="1:11" ht="21" customHeight="1" x14ac:dyDescent="0.2">
      <c r="A28" s="8" t="s">
        <v>139</v>
      </c>
      <c r="B28" s="9" t="s">
        <v>21</v>
      </c>
      <c r="C28" s="10" t="s">
        <v>306</v>
      </c>
      <c r="E28" s="128" t="s">
        <v>395</v>
      </c>
      <c r="F28" s="11">
        <v>0</v>
      </c>
      <c r="G28" s="11">
        <f t="shared" si="0"/>
        <v>91200</v>
      </c>
      <c r="H28" s="11">
        <v>91200</v>
      </c>
      <c r="I28" s="11">
        <f t="shared" si="1"/>
        <v>0</v>
      </c>
      <c r="J28" s="127">
        <v>91200</v>
      </c>
    </row>
    <row r="29" spans="1:11" ht="21" customHeight="1" x14ac:dyDescent="0.2">
      <c r="A29" s="8" t="s">
        <v>139</v>
      </c>
      <c r="B29" s="9" t="s">
        <v>20</v>
      </c>
      <c r="C29" s="10" t="s">
        <v>306</v>
      </c>
      <c r="E29" s="128" t="s">
        <v>396</v>
      </c>
      <c r="F29" s="11">
        <v>0</v>
      </c>
      <c r="G29" s="11">
        <f t="shared" si="0"/>
        <v>26400</v>
      </c>
      <c r="H29" s="11">
        <v>26400</v>
      </c>
      <c r="I29" s="11">
        <f t="shared" si="1"/>
        <v>0</v>
      </c>
      <c r="J29" s="127">
        <v>26400</v>
      </c>
    </row>
    <row r="30" spans="1:11" ht="21" customHeight="1" x14ac:dyDescent="0.2">
      <c r="A30" s="8" t="s">
        <v>139</v>
      </c>
      <c r="B30" s="9" t="s">
        <v>140</v>
      </c>
      <c r="C30" s="10" t="s">
        <v>306</v>
      </c>
      <c r="E30" s="128" t="s">
        <v>187</v>
      </c>
      <c r="F30" s="11">
        <v>0</v>
      </c>
      <c r="G30" s="11">
        <f t="shared" si="0"/>
        <v>48000</v>
      </c>
      <c r="H30" s="11">
        <v>48000</v>
      </c>
      <c r="I30" s="11">
        <f t="shared" si="1"/>
        <v>0</v>
      </c>
      <c r="J30" s="127">
        <v>48000</v>
      </c>
    </row>
    <row r="31" spans="1:11" ht="21" customHeight="1" x14ac:dyDescent="0.2">
      <c r="A31" s="8" t="s">
        <v>139</v>
      </c>
      <c r="B31" s="9" t="s">
        <v>322</v>
      </c>
      <c r="C31" s="10" t="s">
        <v>306</v>
      </c>
      <c r="E31" s="128" t="s">
        <v>325</v>
      </c>
      <c r="F31" s="11">
        <v>0</v>
      </c>
      <c r="G31" s="11">
        <f t="shared" si="0"/>
        <v>72000</v>
      </c>
      <c r="H31" s="11">
        <v>72000</v>
      </c>
      <c r="I31" s="11">
        <f t="shared" si="1"/>
        <v>0</v>
      </c>
      <c r="J31" s="127">
        <v>72000</v>
      </c>
    </row>
    <row r="32" spans="1:11" ht="21" hidden="1" customHeight="1" x14ac:dyDescent="0.2">
      <c r="A32" s="8" t="s">
        <v>139</v>
      </c>
      <c r="B32" s="9" t="s">
        <v>55</v>
      </c>
      <c r="C32" s="10" t="s">
        <v>276</v>
      </c>
      <c r="E32" s="128" t="s">
        <v>267</v>
      </c>
      <c r="F32" s="11">
        <v>0</v>
      </c>
      <c r="G32" s="11">
        <f t="shared" si="0"/>
        <v>0</v>
      </c>
      <c r="H32" s="11"/>
      <c r="I32" s="11">
        <f t="shared" si="1"/>
        <v>0</v>
      </c>
      <c r="J32" s="127"/>
    </row>
    <row r="33" spans="1:20" ht="21" hidden="1" customHeight="1" x14ac:dyDescent="0.2">
      <c r="A33" s="8" t="s">
        <v>139</v>
      </c>
      <c r="B33" s="9" t="s">
        <v>55</v>
      </c>
      <c r="C33" s="10" t="s">
        <v>324</v>
      </c>
      <c r="E33" s="128" t="s">
        <v>326</v>
      </c>
      <c r="F33" s="11">
        <v>0</v>
      </c>
      <c r="G33" s="11">
        <f t="shared" si="0"/>
        <v>0</v>
      </c>
      <c r="H33" s="11"/>
      <c r="I33" s="11">
        <f t="shared" si="1"/>
        <v>0</v>
      </c>
      <c r="J33" s="127"/>
    </row>
    <row r="34" spans="1:20" ht="21" customHeight="1" x14ac:dyDescent="0.2">
      <c r="A34" s="8" t="s">
        <v>51</v>
      </c>
      <c r="B34" s="18" t="s">
        <v>53</v>
      </c>
      <c r="D34" s="10" t="s">
        <v>277</v>
      </c>
      <c r="E34" s="128" t="s">
        <v>52</v>
      </c>
      <c r="F34" s="11">
        <v>0</v>
      </c>
      <c r="G34" s="11">
        <f t="shared" si="0"/>
        <v>76364.679999999993</v>
      </c>
      <c r="H34" s="11">
        <v>76364.679999999993</v>
      </c>
      <c r="I34" s="11">
        <f t="shared" si="1"/>
        <v>0</v>
      </c>
      <c r="J34" s="127">
        <v>76364.679999999993</v>
      </c>
      <c r="L34" s="11"/>
    </row>
    <row r="35" spans="1:20" ht="21" customHeight="1" x14ac:dyDescent="0.2">
      <c r="A35" s="8" t="s">
        <v>245</v>
      </c>
      <c r="B35" s="18"/>
      <c r="C35" s="10" t="s">
        <v>278</v>
      </c>
      <c r="E35" s="128" t="s">
        <v>246</v>
      </c>
      <c r="F35" s="11">
        <v>0</v>
      </c>
      <c r="G35" s="11">
        <f t="shared" si="0"/>
        <v>4618</v>
      </c>
      <c r="H35" s="11">
        <v>4618</v>
      </c>
      <c r="I35" s="11">
        <f t="shared" si="1"/>
        <v>1547</v>
      </c>
      <c r="J35" s="127">
        <v>6165</v>
      </c>
      <c r="L35" s="11"/>
    </row>
    <row r="36" spans="1:20" ht="21" customHeight="1" x14ac:dyDescent="0.2">
      <c r="A36" s="8" t="s">
        <v>350</v>
      </c>
      <c r="B36" s="18" t="s">
        <v>55</v>
      </c>
      <c r="D36" s="10" t="s">
        <v>520</v>
      </c>
      <c r="E36" s="128" t="s">
        <v>521</v>
      </c>
      <c r="F36" s="11">
        <v>0</v>
      </c>
      <c r="G36" s="11">
        <f t="shared" si="0"/>
        <v>283000</v>
      </c>
      <c r="H36" s="11">
        <v>283000</v>
      </c>
      <c r="I36" s="11">
        <f t="shared" si="1"/>
        <v>0</v>
      </c>
      <c r="J36" s="127">
        <v>283000</v>
      </c>
      <c r="L36" s="11"/>
    </row>
    <row r="37" spans="1:20" ht="21" hidden="1" customHeight="1" x14ac:dyDescent="0.2">
      <c r="A37" s="8" t="s">
        <v>350</v>
      </c>
      <c r="B37" s="18" t="s">
        <v>351</v>
      </c>
      <c r="D37" s="10" t="s">
        <v>352</v>
      </c>
      <c r="E37" s="128" t="s">
        <v>353</v>
      </c>
      <c r="F37" s="11">
        <v>0</v>
      </c>
      <c r="G37" s="11">
        <f t="shared" si="0"/>
        <v>0</v>
      </c>
      <c r="H37" s="11">
        <v>0</v>
      </c>
      <c r="I37" s="11">
        <f t="shared" si="1"/>
        <v>0</v>
      </c>
      <c r="J37" s="127">
        <v>0</v>
      </c>
      <c r="L37" s="11"/>
    </row>
    <row r="38" spans="1:20" ht="21" hidden="1" customHeight="1" x14ac:dyDescent="0.2">
      <c r="A38" s="8" t="s">
        <v>350</v>
      </c>
      <c r="B38" s="18" t="s">
        <v>426</v>
      </c>
      <c r="D38" s="10" t="s">
        <v>427</v>
      </c>
      <c r="E38" s="128" t="s">
        <v>428</v>
      </c>
      <c r="F38" s="11">
        <v>0</v>
      </c>
      <c r="G38" s="11">
        <f t="shared" si="0"/>
        <v>0</v>
      </c>
      <c r="H38" s="11">
        <v>0</v>
      </c>
      <c r="I38" s="11">
        <f t="shared" si="1"/>
        <v>0</v>
      </c>
      <c r="J38" s="127">
        <v>0</v>
      </c>
      <c r="L38" s="11"/>
    </row>
    <row r="39" spans="1:20" ht="21" hidden="1" customHeight="1" x14ac:dyDescent="0.2">
      <c r="A39" s="8" t="s">
        <v>350</v>
      </c>
      <c r="B39" s="18" t="s">
        <v>55</v>
      </c>
      <c r="D39" s="10" t="s">
        <v>430</v>
      </c>
      <c r="E39" s="128" t="s">
        <v>431</v>
      </c>
      <c r="F39" s="11">
        <v>0</v>
      </c>
      <c r="G39" s="11">
        <f t="shared" si="0"/>
        <v>0</v>
      </c>
      <c r="H39" s="11">
        <v>0</v>
      </c>
      <c r="I39" s="11">
        <f t="shared" si="1"/>
        <v>0</v>
      </c>
      <c r="J39" s="127">
        <v>0</v>
      </c>
      <c r="L39" s="11"/>
    </row>
    <row r="40" spans="1:20" ht="21" hidden="1" customHeight="1" x14ac:dyDescent="0.2">
      <c r="A40" s="8" t="s">
        <v>350</v>
      </c>
      <c r="B40" s="18" t="s">
        <v>499</v>
      </c>
      <c r="D40" s="10" t="s">
        <v>467</v>
      </c>
      <c r="E40" s="128" t="s">
        <v>468</v>
      </c>
      <c r="F40" s="11">
        <v>0</v>
      </c>
      <c r="G40" s="11">
        <f>H40-F40</f>
        <v>0</v>
      </c>
      <c r="H40" s="11">
        <v>0</v>
      </c>
      <c r="I40" s="11">
        <f t="shared" si="1"/>
        <v>0</v>
      </c>
      <c r="J40" s="127">
        <v>0</v>
      </c>
      <c r="L40" s="11"/>
    </row>
    <row r="41" spans="1:20" ht="21" hidden="1" customHeight="1" x14ac:dyDescent="0.2">
      <c r="A41" s="8" t="s">
        <v>350</v>
      </c>
      <c r="B41" s="18" t="s">
        <v>55</v>
      </c>
      <c r="D41" s="10" t="s">
        <v>472</v>
      </c>
      <c r="E41" s="128" t="s">
        <v>473</v>
      </c>
      <c r="F41" s="11">
        <v>0</v>
      </c>
      <c r="G41" s="11">
        <f>H41-F41</f>
        <v>0</v>
      </c>
      <c r="H41" s="11">
        <v>0</v>
      </c>
      <c r="I41" s="11">
        <f>J41-H41</f>
        <v>0</v>
      </c>
      <c r="J41" s="127">
        <v>0</v>
      </c>
      <c r="L41" s="11"/>
    </row>
    <row r="42" spans="1:20" ht="21" hidden="1" customHeight="1" x14ac:dyDescent="0.2">
      <c r="A42" s="8" t="s">
        <v>350</v>
      </c>
      <c r="B42" s="18" t="s">
        <v>466</v>
      </c>
      <c r="D42" s="10" t="s">
        <v>475</v>
      </c>
      <c r="E42" s="128" t="s">
        <v>476</v>
      </c>
      <c r="F42" s="11">
        <v>0</v>
      </c>
      <c r="G42" s="11">
        <f>H42-F42</f>
        <v>0</v>
      </c>
      <c r="H42" s="11">
        <v>0</v>
      </c>
      <c r="I42" s="11">
        <f>J42-H42</f>
        <v>0</v>
      </c>
      <c r="J42" s="127">
        <v>0</v>
      </c>
      <c r="L42" s="11"/>
    </row>
    <row r="43" spans="1:20" ht="21" hidden="1" customHeight="1" x14ac:dyDescent="0.2">
      <c r="A43" s="8" t="s">
        <v>350</v>
      </c>
      <c r="B43" s="18" t="s">
        <v>502</v>
      </c>
      <c r="D43" s="10" t="s">
        <v>503</v>
      </c>
      <c r="E43" s="128" t="s">
        <v>504</v>
      </c>
      <c r="F43" s="11">
        <v>0</v>
      </c>
      <c r="G43" s="11">
        <f>H43-F43</f>
        <v>0</v>
      </c>
      <c r="H43" s="11">
        <v>0</v>
      </c>
      <c r="I43" s="11">
        <f>J43-H43</f>
        <v>0</v>
      </c>
      <c r="J43" s="127">
        <v>0</v>
      </c>
      <c r="L43" s="11"/>
    </row>
    <row r="44" spans="1:20" ht="21" customHeight="1" thickBot="1" x14ac:dyDescent="0.25">
      <c r="A44" s="8"/>
      <c r="E44" s="129" t="s">
        <v>10</v>
      </c>
      <c r="F44" s="16">
        <f>SUBTOTAL(9,F13:F43)</f>
        <v>157201760</v>
      </c>
      <c r="G44" s="16">
        <f>SUBTOTAL(9,G13:G43)</f>
        <v>649582.67999999993</v>
      </c>
      <c r="H44" s="16">
        <f>SUBTOTAL(9,H13:H43)</f>
        <v>157851342.68000001</v>
      </c>
      <c r="I44" s="16">
        <f>SUBTOTAL(9,I13:I43)</f>
        <v>1547</v>
      </c>
      <c r="J44" s="130">
        <f>SUBTOTAL(9,J13:J43)</f>
        <v>157852889.68000001</v>
      </c>
    </row>
    <row r="45" spans="1:20" ht="21" customHeight="1" thickTop="1" x14ac:dyDescent="0.2">
      <c r="A45" s="8"/>
      <c r="E45" s="126" t="s">
        <v>11</v>
      </c>
      <c r="F45" s="11"/>
      <c r="G45" s="11"/>
      <c r="H45" s="11"/>
      <c r="I45" s="11" t="s">
        <v>0</v>
      </c>
      <c r="J45" s="127"/>
    </row>
    <row r="46" spans="1:20" ht="21" customHeight="1" x14ac:dyDescent="0.2">
      <c r="A46" s="8">
        <v>3411</v>
      </c>
      <c r="B46" s="9">
        <v>9001</v>
      </c>
      <c r="C46" s="10" t="s">
        <v>279</v>
      </c>
      <c r="E46" s="128" t="s">
        <v>129</v>
      </c>
      <c r="F46" s="11">
        <v>125035358</v>
      </c>
      <c r="G46" s="11">
        <f t="shared" ref="G46:G106" si="2">H46-F46</f>
        <v>0</v>
      </c>
      <c r="H46" s="11">
        <v>125035358</v>
      </c>
      <c r="I46" s="11">
        <f t="shared" si="1"/>
        <v>0</v>
      </c>
      <c r="J46" s="127">
        <v>125035358</v>
      </c>
      <c r="K46" s="19"/>
      <c r="L46" s="19"/>
      <c r="N46" s="19"/>
      <c r="O46" s="19"/>
      <c r="P46" s="19"/>
      <c r="Q46" s="19"/>
      <c r="R46" s="19"/>
      <c r="S46" s="19"/>
      <c r="T46" s="20"/>
    </row>
    <row r="47" spans="1:20" ht="21" hidden="1" customHeight="1" x14ac:dyDescent="0.2">
      <c r="A47" s="8" t="s">
        <v>128</v>
      </c>
      <c r="B47" s="9" t="s">
        <v>55</v>
      </c>
      <c r="C47" s="10" t="s">
        <v>280</v>
      </c>
      <c r="E47" s="128" t="s">
        <v>130</v>
      </c>
      <c r="F47" s="11">
        <v>0</v>
      </c>
      <c r="G47" s="11">
        <f t="shared" si="2"/>
        <v>0</v>
      </c>
      <c r="H47" s="11"/>
      <c r="I47" s="11">
        <f t="shared" si="1"/>
        <v>0</v>
      </c>
      <c r="J47" s="127"/>
      <c r="K47" s="19"/>
      <c r="L47" s="19"/>
      <c r="N47" s="19"/>
      <c r="O47" s="19"/>
      <c r="P47" s="19"/>
      <c r="Q47" s="19"/>
      <c r="R47" s="19"/>
      <c r="S47" s="19"/>
      <c r="T47" s="20"/>
    </row>
    <row r="48" spans="1:20" ht="21" hidden="1" customHeight="1" x14ac:dyDescent="0.2">
      <c r="A48" s="8">
        <v>3411</v>
      </c>
      <c r="B48" s="9">
        <v>9001</v>
      </c>
      <c r="C48" s="10" t="s">
        <v>295</v>
      </c>
      <c r="E48" s="128" t="s">
        <v>131</v>
      </c>
      <c r="F48" s="11">
        <v>0</v>
      </c>
      <c r="G48" s="11">
        <f t="shared" si="2"/>
        <v>0</v>
      </c>
      <c r="H48" s="11"/>
      <c r="I48" s="11">
        <f t="shared" si="1"/>
        <v>0</v>
      </c>
      <c r="J48" s="127"/>
      <c r="K48" s="19"/>
      <c r="L48" s="19"/>
      <c r="N48" s="19"/>
      <c r="O48" s="19"/>
      <c r="P48" s="19"/>
      <c r="Q48" s="19"/>
      <c r="R48" s="19"/>
      <c r="S48" s="19"/>
      <c r="T48" s="20"/>
    </row>
    <row r="49" spans="1:20" ht="21" hidden="1" customHeight="1" x14ac:dyDescent="0.2">
      <c r="A49" s="8" t="s">
        <v>128</v>
      </c>
      <c r="B49" s="9" t="s">
        <v>55</v>
      </c>
      <c r="C49" s="10" t="s">
        <v>292</v>
      </c>
      <c r="E49" s="128" t="s">
        <v>255</v>
      </c>
      <c r="F49" s="11">
        <v>0</v>
      </c>
      <c r="G49" s="11">
        <f t="shared" si="2"/>
        <v>0</v>
      </c>
      <c r="H49" s="11"/>
      <c r="I49" s="11">
        <f t="shared" si="1"/>
        <v>0</v>
      </c>
      <c r="J49" s="127"/>
      <c r="K49" s="19"/>
      <c r="L49" s="19"/>
      <c r="N49" s="19"/>
      <c r="O49" s="19"/>
      <c r="P49" s="19"/>
      <c r="Q49" s="19"/>
      <c r="R49" s="19"/>
      <c r="S49" s="19"/>
      <c r="T49" s="20"/>
    </row>
    <row r="50" spans="1:20" ht="21" customHeight="1" x14ac:dyDescent="0.2">
      <c r="A50" s="8">
        <v>3421</v>
      </c>
      <c r="B50" s="9">
        <v>9001</v>
      </c>
      <c r="E50" s="128" t="s">
        <v>132</v>
      </c>
      <c r="F50" s="11">
        <v>200000</v>
      </c>
      <c r="G50" s="11">
        <f t="shared" si="2"/>
        <v>0</v>
      </c>
      <c r="H50" s="11">
        <v>200000</v>
      </c>
      <c r="I50" s="11">
        <f t="shared" si="1"/>
        <v>0</v>
      </c>
      <c r="J50" s="127">
        <v>200000</v>
      </c>
    </row>
    <row r="51" spans="1:20" ht="21" hidden="1" customHeight="1" x14ac:dyDescent="0.2">
      <c r="A51" s="8" t="s">
        <v>124</v>
      </c>
      <c r="B51" s="9" t="s">
        <v>55</v>
      </c>
      <c r="E51" s="128" t="s">
        <v>125</v>
      </c>
      <c r="F51" s="11">
        <v>0</v>
      </c>
      <c r="G51" s="11">
        <f t="shared" si="2"/>
        <v>0</v>
      </c>
      <c r="H51" s="11"/>
      <c r="I51" s="11">
        <f t="shared" si="1"/>
        <v>0</v>
      </c>
      <c r="J51" s="127"/>
    </row>
    <row r="52" spans="1:20" ht="21" customHeight="1" x14ac:dyDescent="0.2">
      <c r="A52" s="13">
        <v>3425</v>
      </c>
      <c r="B52" s="14" t="s">
        <v>12</v>
      </c>
      <c r="C52" s="15"/>
      <c r="D52" s="15"/>
      <c r="E52" s="126" t="s">
        <v>91</v>
      </c>
      <c r="F52" s="11">
        <v>0</v>
      </c>
      <c r="G52" s="11">
        <f t="shared" si="2"/>
        <v>156406.35999999999</v>
      </c>
      <c r="H52" s="11">
        <v>156406.35999999999</v>
      </c>
      <c r="I52" s="11">
        <f t="shared" si="1"/>
        <v>100473.53000000003</v>
      </c>
      <c r="J52" s="127">
        <v>256879.89</v>
      </c>
    </row>
    <row r="53" spans="1:20" ht="21" customHeight="1" x14ac:dyDescent="0.2">
      <c r="A53" s="8">
        <v>3431</v>
      </c>
      <c r="B53" s="9">
        <v>9001</v>
      </c>
      <c r="E53" s="128" t="s">
        <v>89</v>
      </c>
      <c r="F53" s="11">
        <v>200000</v>
      </c>
      <c r="G53" s="11">
        <f t="shared" si="2"/>
        <v>0</v>
      </c>
      <c r="H53" s="11">
        <v>200000</v>
      </c>
      <c r="I53" s="11">
        <f t="shared" si="1"/>
        <v>0</v>
      </c>
      <c r="J53" s="127">
        <v>200000</v>
      </c>
    </row>
    <row r="54" spans="1:20" ht="21" customHeight="1" x14ac:dyDescent="0.2">
      <c r="A54" s="13">
        <v>3440</v>
      </c>
      <c r="B54" s="14" t="s">
        <v>12</v>
      </c>
      <c r="C54" s="15"/>
      <c r="E54" s="126" t="s">
        <v>92</v>
      </c>
      <c r="F54" s="11">
        <v>0</v>
      </c>
      <c r="G54" s="11">
        <f t="shared" si="2"/>
        <v>102049.84</v>
      </c>
      <c r="H54" s="11">
        <v>102049.84</v>
      </c>
      <c r="I54" s="11">
        <f t="shared" si="1"/>
        <v>11518.710000000006</v>
      </c>
      <c r="J54" s="127">
        <v>113568.55</v>
      </c>
    </row>
    <row r="55" spans="1:20" ht="21" customHeight="1" x14ac:dyDescent="0.2">
      <c r="A55" s="8" t="s">
        <v>247</v>
      </c>
      <c r="B55" s="9" t="s">
        <v>55</v>
      </c>
      <c r="C55" s="10" t="s">
        <v>291</v>
      </c>
      <c r="E55" s="128" t="s">
        <v>248</v>
      </c>
      <c r="F55" s="11">
        <v>0</v>
      </c>
      <c r="G55" s="11">
        <f t="shared" si="2"/>
        <v>2115</v>
      </c>
      <c r="H55" s="11">
        <v>2115</v>
      </c>
      <c r="I55" s="11">
        <f t="shared" si="1"/>
        <v>2314</v>
      </c>
      <c r="J55" s="127">
        <v>4429</v>
      </c>
    </row>
    <row r="56" spans="1:20" ht="21" customHeight="1" x14ac:dyDescent="0.2">
      <c r="A56" s="8">
        <v>3469</v>
      </c>
      <c r="B56" s="9" t="s">
        <v>29</v>
      </c>
      <c r="E56" s="128" t="s">
        <v>87</v>
      </c>
      <c r="F56" s="21">
        <v>7000</v>
      </c>
      <c r="G56" s="11">
        <f t="shared" si="2"/>
        <v>0</v>
      </c>
      <c r="H56" s="11">
        <v>7000</v>
      </c>
      <c r="I56" s="11">
        <f t="shared" si="1"/>
        <v>0</v>
      </c>
      <c r="J56" s="127">
        <v>7000</v>
      </c>
    </row>
    <row r="57" spans="1:20" ht="21" customHeight="1" x14ac:dyDescent="0.2">
      <c r="A57" s="8" t="s">
        <v>39</v>
      </c>
      <c r="B57" s="9" t="s">
        <v>20</v>
      </c>
      <c r="C57" s="10" t="s">
        <v>281</v>
      </c>
      <c r="E57" s="128" t="s">
        <v>88</v>
      </c>
      <c r="F57" s="11">
        <v>0</v>
      </c>
      <c r="G57" s="11">
        <f t="shared" si="2"/>
        <v>106000</v>
      </c>
      <c r="H57" s="11">
        <v>106000</v>
      </c>
      <c r="I57" s="11">
        <f t="shared" si="1"/>
        <v>0</v>
      </c>
      <c r="J57" s="127">
        <v>106000</v>
      </c>
      <c r="M57" s="20"/>
    </row>
    <row r="58" spans="1:20" ht="21" customHeight="1" x14ac:dyDescent="0.2">
      <c r="A58" s="8" t="s">
        <v>39</v>
      </c>
      <c r="B58" s="9" t="s">
        <v>140</v>
      </c>
      <c r="C58" s="10" t="s">
        <v>281</v>
      </c>
      <c r="E58" s="128" t="s">
        <v>141</v>
      </c>
      <c r="F58" s="11">
        <v>0</v>
      </c>
      <c r="G58" s="11">
        <f t="shared" si="2"/>
        <v>168381</v>
      </c>
      <c r="H58" s="11">
        <v>168381</v>
      </c>
      <c r="I58" s="11">
        <f t="shared" si="1"/>
        <v>0</v>
      </c>
      <c r="J58" s="127">
        <v>168381</v>
      </c>
      <c r="L58" s="22"/>
      <c r="M58" s="20"/>
    </row>
    <row r="59" spans="1:20" ht="21" customHeight="1" x14ac:dyDescent="0.2">
      <c r="A59" s="8">
        <v>3473</v>
      </c>
      <c r="B59" s="9" t="s">
        <v>31</v>
      </c>
      <c r="C59" s="10" t="s">
        <v>282</v>
      </c>
      <c r="E59" s="128" t="s">
        <v>153</v>
      </c>
      <c r="F59" s="11">
        <v>0</v>
      </c>
      <c r="G59" s="11">
        <f t="shared" si="2"/>
        <v>182600</v>
      </c>
      <c r="H59" s="11">
        <v>182600</v>
      </c>
      <c r="I59" s="11">
        <f t="shared" si="1"/>
        <v>0</v>
      </c>
      <c r="J59" s="127">
        <v>182600</v>
      </c>
      <c r="L59" s="23"/>
    </row>
    <row r="60" spans="1:20" ht="21" customHeight="1" x14ac:dyDescent="0.2">
      <c r="A60" s="8" t="s">
        <v>40</v>
      </c>
      <c r="B60" s="9" t="s">
        <v>405</v>
      </c>
      <c r="C60" s="10" t="s">
        <v>282</v>
      </c>
      <c r="E60" s="128" t="s">
        <v>406</v>
      </c>
      <c r="F60" s="11">
        <v>0</v>
      </c>
      <c r="G60" s="11">
        <f>H60-F60</f>
        <v>220000</v>
      </c>
      <c r="H60" s="11">
        <v>220000</v>
      </c>
      <c r="I60" s="11">
        <f t="shared" si="1"/>
        <v>0</v>
      </c>
      <c r="J60" s="127">
        <v>220000</v>
      </c>
      <c r="L60" s="23"/>
    </row>
    <row r="61" spans="1:20" ht="21" customHeight="1" x14ac:dyDescent="0.2">
      <c r="A61" s="8">
        <v>3473</v>
      </c>
      <c r="B61" s="9" t="s">
        <v>22</v>
      </c>
      <c r="C61" s="10" t="s">
        <v>282</v>
      </c>
      <c r="E61" s="128" t="s">
        <v>144</v>
      </c>
      <c r="F61" s="21">
        <v>0</v>
      </c>
      <c r="G61" s="11">
        <f t="shared" si="2"/>
        <v>248191</v>
      </c>
      <c r="H61" s="11">
        <v>248191</v>
      </c>
      <c r="I61" s="11">
        <f t="shared" si="1"/>
        <v>0</v>
      </c>
      <c r="J61" s="127">
        <v>248191</v>
      </c>
      <c r="L61" s="23"/>
    </row>
    <row r="62" spans="1:20" ht="21" customHeight="1" x14ac:dyDescent="0.2">
      <c r="A62" s="8">
        <v>3473</v>
      </c>
      <c r="B62" s="9" t="s">
        <v>19</v>
      </c>
      <c r="C62" s="10" t="s">
        <v>282</v>
      </c>
      <c r="E62" s="128" t="s">
        <v>145</v>
      </c>
      <c r="F62" s="11">
        <v>0</v>
      </c>
      <c r="G62" s="11">
        <f t="shared" si="2"/>
        <v>469716</v>
      </c>
      <c r="H62" s="11">
        <v>469716</v>
      </c>
      <c r="I62" s="11">
        <f t="shared" si="1"/>
        <v>0</v>
      </c>
      <c r="J62" s="127">
        <v>469716</v>
      </c>
      <c r="L62" s="23"/>
    </row>
    <row r="63" spans="1:20" ht="21" hidden="1" customHeight="1" x14ac:dyDescent="0.2">
      <c r="A63" s="8" t="s">
        <v>40</v>
      </c>
      <c r="B63" s="9" t="s">
        <v>486</v>
      </c>
      <c r="C63" s="10" t="s">
        <v>282</v>
      </c>
      <c r="E63" s="128" t="s">
        <v>487</v>
      </c>
      <c r="F63" s="11">
        <v>0</v>
      </c>
      <c r="G63" s="11">
        <f>H63-F63</f>
        <v>0</v>
      </c>
      <c r="H63" s="11"/>
      <c r="I63" s="11">
        <f t="shared" si="1"/>
        <v>0</v>
      </c>
      <c r="J63" s="127"/>
      <c r="L63" s="23"/>
    </row>
    <row r="64" spans="1:20" ht="21" customHeight="1" x14ac:dyDescent="0.2">
      <c r="A64" s="8" t="s">
        <v>40</v>
      </c>
      <c r="B64" s="9" t="s">
        <v>461</v>
      </c>
      <c r="C64" s="10" t="s">
        <v>282</v>
      </c>
      <c r="E64" s="128" t="s">
        <v>462</v>
      </c>
      <c r="F64" s="11">
        <v>0</v>
      </c>
      <c r="G64" s="11">
        <f>H64-F64</f>
        <v>95000</v>
      </c>
      <c r="H64" s="11">
        <v>95000</v>
      </c>
      <c r="I64" s="11">
        <f t="shared" si="1"/>
        <v>0</v>
      </c>
      <c r="J64" s="127">
        <v>95000</v>
      </c>
      <c r="L64" s="23"/>
    </row>
    <row r="65" spans="1:12" ht="21" customHeight="1" x14ac:dyDescent="0.2">
      <c r="A65" s="8" t="s">
        <v>40</v>
      </c>
      <c r="B65" s="9" t="s">
        <v>142</v>
      </c>
      <c r="C65" s="10" t="s">
        <v>282</v>
      </c>
      <c r="E65" s="128" t="s">
        <v>146</v>
      </c>
      <c r="F65" s="11">
        <v>0</v>
      </c>
      <c r="G65" s="11">
        <f t="shared" si="2"/>
        <v>187350</v>
      </c>
      <c r="H65" s="11">
        <v>187350</v>
      </c>
      <c r="I65" s="11">
        <f t="shared" si="1"/>
        <v>0</v>
      </c>
      <c r="J65" s="127">
        <v>187350</v>
      </c>
      <c r="L65" s="23"/>
    </row>
    <row r="66" spans="1:12" ht="21" customHeight="1" x14ac:dyDescent="0.2">
      <c r="A66" s="8">
        <v>3473</v>
      </c>
      <c r="B66" s="9" t="s">
        <v>23</v>
      </c>
      <c r="C66" s="10" t="s">
        <v>282</v>
      </c>
      <c r="E66" s="128" t="s">
        <v>147</v>
      </c>
      <c r="F66" s="11">
        <v>0</v>
      </c>
      <c r="G66" s="11">
        <f t="shared" si="2"/>
        <v>275000</v>
      </c>
      <c r="H66" s="11">
        <v>275000</v>
      </c>
      <c r="I66" s="11">
        <f t="shared" si="1"/>
        <v>0</v>
      </c>
      <c r="J66" s="127">
        <v>275000</v>
      </c>
      <c r="L66" s="23"/>
    </row>
    <row r="67" spans="1:12" ht="21" customHeight="1" x14ac:dyDescent="0.2">
      <c r="A67" s="8">
        <v>3473</v>
      </c>
      <c r="B67" s="9" t="s">
        <v>32</v>
      </c>
      <c r="C67" s="10" t="s">
        <v>282</v>
      </c>
      <c r="E67" s="128" t="s">
        <v>404</v>
      </c>
      <c r="F67" s="11">
        <v>0</v>
      </c>
      <c r="G67" s="11">
        <f t="shared" si="2"/>
        <v>269000</v>
      </c>
      <c r="H67" s="11">
        <v>269000</v>
      </c>
      <c r="I67" s="11">
        <f t="shared" si="1"/>
        <v>0</v>
      </c>
      <c r="J67" s="127">
        <v>269000</v>
      </c>
      <c r="L67" s="23"/>
    </row>
    <row r="68" spans="1:12" ht="21" customHeight="1" x14ac:dyDescent="0.2">
      <c r="A68" s="8">
        <v>3473</v>
      </c>
      <c r="B68" s="9" t="s">
        <v>21</v>
      </c>
      <c r="C68" s="10" t="s">
        <v>282</v>
      </c>
      <c r="E68" s="128" t="s">
        <v>148</v>
      </c>
      <c r="F68" s="11">
        <v>0</v>
      </c>
      <c r="G68" s="11">
        <f t="shared" si="2"/>
        <v>191520</v>
      </c>
      <c r="H68" s="11">
        <v>191520</v>
      </c>
      <c r="I68" s="11">
        <f t="shared" si="1"/>
        <v>0</v>
      </c>
      <c r="J68" s="127">
        <v>191520</v>
      </c>
      <c r="L68" s="23"/>
    </row>
    <row r="69" spans="1:12" ht="21" customHeight="1" x14ac:dyDescent="0.2">
      <c r="A69" s="8">
        <v>3473</v>
      </c>
      <c r="B69" s="9" t="s">
        <v>20</v>
      </c>
      <c r="C69" s="10" t="s">
        <v>282</v>
      </c>
      <c r="E69" s="128" t="s">
        <v>149</v>
      </c>
      <c r="F69" s="24">
        <v>0</v>
      </c>
      <c r="G69" s="11">
        <f t="shared" si="2"/>
        <v>350000</v>
      </c>
      <c r="H69" s="11">
        <v>350000</v>
      </c>
      <c r="I69" s="11">
        <f t="shared" si="1"/>
        <v>0</v>
      </c>
      <c r="J69" s="127">
        <v>350000</v>
      </c>
      <c r="L69" s="23"/>
    </row>
    <row r="70" spans="1:12" ht="21" customHeight="1" x14ac:dyDescent="0.2">
      <c r="A70" s="8" t="s">
        <v>40</v>
      </c>
      <c r="B70" s="9" t="s">
        <v>488</v>
      </c>
      <c r="C70" s="10" t="s">
        <v>282</v>
      </c>
      <c r="E70" s="128" t="s">
        <v>489</v>
      </c>
      <c r="F70" s="11">
        <v>0</v>
      </c>
      <c r="G70" s="11">
        <f>H70-F70</f>
        <v>200000</v>
      </c>
      <c r="H70" s="11">
        <v>200000</v>
      </c>
      <c r="I70" s="11">
        <f t="shared" si="1"/>
        <v>0</v>
      </c>
      <c r="J70" s="127">
        <v>200000</v>
      </c>
      <c r="L70" s="23"/>
    </row>
    <row r="71" spans="1:12" ht="21" customHeight="1" x14ac:dyDescent="0.2">
      <c r="A71" s="8" t="s">
        <v>40</v>
      </c>
      <c r="B71" s="9" t="s">
        <v>41</v>
      </c>
      <c r="C71" s="10" t="s">
        <v>282</v>
      </c>
      <c r="E71" s="128" t="s">
        <v>161</v>
      </c>
      <c r="F71" s="11">
        <v>0</v>
      </c>
      <c r="G71" s="11">
        <f t="shared" si="2"/>
        <v>248575</v>
      </c>
      <c r="H71" s="11">
        <v>248575</v>
      </c>
      <c r="I71" s="11">
        <f t="shared" si="1"/>
        <v>0</v>
      </c>
      <c r="J71" s="127">
        <v>248575</v>
      </c>
      <c r="L71" s="23"/>
    </row>
    <row r="72" spans="1:12" ht="21" customHeight="1" x14ac:dyDescent="0.2">
      <c r="A72" s="8" t="s">
        <v>40</v>
      </c>
      <c r="B72" s="9" t="s">
        <v>140</v>
      </c>
      <c r="C72" s="10" t="s">
        <v>282</v>
      </c>
      <c r="E72" s="128" t="s">
        <v>162</v>
      </c>
      <c r="F72" s="11">
        <v>0</v>
      </c>
      <c r="G72" s="11">
        <f t="shared" si="2"/>
        <v>305685</v>
      </c>
      <c r="H72" s="11">
        <v>305685</v>
      </c>
      <c r="I72" s="11">
        <f t="shared" si="1"/>
        <v>0</v>
      </c>
      <c r="J72" s="127">
        <v>305685</v>
      </c>
      <c r="L72" s="23"/>
    </row>
    <row r="73" spans="1:12" ht="21" customHeight="1" x14ac:dyDescent="0.2">
      <c r="A73" s="8" t="s">
        <v>40</v>
      </c>
      <c r="B73" s="9" t="s">
        <v>322</v>
      </c>
      <c r="C73" s="10" t="s">
        <v>282</v>
      </c>
      <c r="E73" s="128" t="s">
        <v>327</v>
      </c>
      <c r="F73" s="11">
        <v>0</v>
      </c>
      <c r="G73" s="11">
        <f t="shared" si="2"/>
        <v>52836.52</v>
      </c>
      <c r="H73" s="11">
        <v>52836.52</v>
      </c>
      <c r="I73" s="11">
        <f t="shared" si="1"/>
        <v>0</v>
      </c>
      <c r="J73" s="127">
        <v>52836.52</v>
      </c>
      <c r="L73" s="23"/>
    </row>
    <row r="74" spans="1:12" ht="21" customHeight="1" x14ac:dyDescent="0.2">
      <c r="A74" s="8" t="s">
        <v>40</v>
      </c>
      <c r="B74" s="9" t="s">
        <v>457</v>
      </c>
      <c r="C74" s="10" t="s">
        <v>282</v>
      </c>
      <c r="E74" s="128" t="s">
        <v>458</v>
      </c>
      <c r="F74" s="11">
        <v>0</v>
      </c>
      <c r="G74" s="11">
        <f>H74-F74</f>
        <v>475000</v>
      </c>
      <c r="H74" s="11">
        <v>475000</v>
      </c>
      <c r="I74" s="11">
        <f t="shared" si="1"/>
        <v>0</v>
      </c>
      <c r="J74" s="127">
        <v>475000</v>
      </c>
      <c r="L74" s="23"/>
    </row>
    <row r="75" spans="1:12" ht="21" customHeight="1" x14ac:dyDescent="0.2">
      <c r="A75" s="8" t="s">
        <v>40</v>
      </c>
      <c r="B75" s="9" t="s">
        <v>221</v>
      </c>
      <c r="C75" s="10" t="s">
        <v>282</v>
      </c>
      <c r="E75" s="128" t="s">
        <v>222</v>
      </c>
      <c r="F75" s="24">
        <v>0</v>
      </c>
      <c r="G75" s="11">
        <f t="shared" si="2"/>
        <v>414000</v>
      </c>
      <c r="H75" s="11">
        <v>414000</v>
      </c>
      <c r="I75" s="11">
        <f t="shared" si="1"/>
        <v>0</v>
      </c>
      <c r="J75" s="127">
        <v>414000</v>
      </c>
      <c r="L75" s="23"/>
    </row>
    <row r="76" spans="1:12" ht="21" customHeight="1" x14ac:dyDescent="0.2">
      <c r="A76" s="8" t="s">
        <v>40</v>
      </c>
      <c r="B76" s="9" t="s">
        <v>491</v>
      </c>
      <c r="C76" s="10" t="s">
        <v>282</v>
      </c>
      <c r="E76" s="128" t="s">
        <v>490</v>
      </c>
      <c r="F76" s="11">
        <v>0</v>
      </c>
      <c r="G76" s="11">
        <f>H76-F76</f>
        <v>60000</v>
      </c>
      <c r="H76" s="11">
        <v>60000</v>
      </c>
      <c r="I76" s="11">
        <f t="shared" si="1"/>
        <v>0</v>
      </c>
      <c r="J76" s="127">
        <v>60000</v>
      </c>
      <c r="L76" s="23"/>
    </row>
    <row r="77" spans="1:12" ht="21" customHeight="1" x14ac:dyDescent="0.2">
      <c r="A77" s="8" t="s">
        <v>40</v>
      </c>
      <c r="B77" s="9" t="s">
        <v>204</v>
      </c>
      <c r="C77" s="10" t="s">
        <v>282</v>
      </c>
      <c r="E77" s="128" t="s">
        <v>205</v>
      </c>
      <c r="F77" s="11">
        <v>0</v>
      </c>
      <c r="G77" s="11">
        <f t="shared" si="2"/>
        <v>182300</v>
      </c>
      <c r="H77" s="11">
        <v>182300</v>
      </c>
      <c r="I77" s="11">
        <f t="shared" si="1"/>
        <v>0</v>
      </c>
      <c r="J77" s="127">
        <v>182300</v>
      </c>
      <c r="L77" s="23"/>
    </row>
    <row r="78" spans="1:12" ht="21" customHeight="1" x14ac:dyDescent="0.2">
      <c r="A78" s="8" t="s">
        <v>40</v>
      </c>
      <c r="B78" s="9" t="s">
        <v>143</v>
      </c>
      <c r="C78" s="10" t="s">
        <v>282</v>
      </c>
      <c r="E78" s="128" t="s">
        <v>163</v>
      </c>
      <c r="F78" s="11">
        <v>0</v>
      </c>
      <c r="G78" s="11">
        <f t="shared" si="2"/>
        <v>300499</v>
      </c>
      <c r="H78" s="11">
        <v>300499</v>
      </c>
      <c r="I78" s="11">
        <f t="shared" si="1"/>
        <v>0</v>
      </c>
      <c r="J78" s="127">
        <v>300499</v>
      </c>
      <c r="L78" s="23"/>
    </row>
    <row r="79" spans="1:12" ht="21" customHeight="1" x14ac:dyDescent="0.2">
      <c r="A79" s="8" t="s">
        <v>40</v>
      </c>
      <c r="B79" s="9" t="s">
        <v>455</v>
      </c>
      <c r="C79" s="10" t="s">
        <v>282</v>
      </c>
      <c r="E79" s="128" t="s">
        <v>456</v>
      </c>
      <c r="F79" s="11">
        <v>0</v>
      </c>
      <c r="G79" s="11">
        <f>H79-F79</f>
        <v>444000</v>
      </c>
      <c r="H79" s="11">
        <v>444000</v>
      </c>
      <c r="I79" s="11">
        <f t="shared" si="1"/>
        <v>0</v>
      </c>
      <c r="J79" s="127">
        <v>444000</v>
      </c>
      <c r="L79" s="23"/>
    </row>
    <row r="80" spans="1:12" ht="21" customHeight="1" x14ac:dyDescent="0.2">
      <c r="A80" s="13">
        <v>3479</v>
      </c>
      <c r="B80" s="14" t="s">
        <v>12</v>
      </c>
      <c r="C80" s="15"/>
      <c r="D80" s="15"/>
      <c r="E80" s="126" t="s">
        <v>150</v>
      </c>
      <c r="F80" s="11">
        <v>0</v>
      </c>
      <c r="G80" s="11">
        <f t="shared" si="2"/>
        <v>51950</v>
      </c>
      <c r="H80" s="11">
        <v>51950</v>
      </c>
      <c r="I80" s="11">
        <f t="shared" si="1"/>
        <v>-43723.270000000004</v>
      </c>
      <c r="J80" s="127">
        <v>8226.73</v>
      </c>
      <c r="L80" s="22"/>
    </row>
    <row r="81" spans="1:14" ht="21" customHeight="1" x14ac:dyDescent="0.2">
      <c r="A81" s="8" t="s">
        <v>199</v>
      </c>
      <c r="B81" s="9" t="s">
        <v>48</v>
      </c>
      <c r="E81" s="128" t="s">
        <v>200</v>
      </c>
      <c r="F81" s="11">
        <v>105269</v>
      </c>
      <c r="G81" s="11">
        <v>0</v>
      </c>
      <c r="H81" s="11">
        <v>105269</v>
      </c>
      <c r="I81" s="11">
        <f t="shared" si="1"/>
        <v>0</v>
      </c>
      <c r="J81" s="127">
        <v>105269</v>
      </c>
      <c r="L81" s="22"/>
    </row>
    <row r="82" spans="1:14" ht="21" customHeight="1" x14ac:dyDescent="0.2">
      <c r="A82" s="8">
        <v>3492</v>
      </c>
      <c r="B82" s="9">
        <v>9780</v>
      </c>
      <c r="E82" s="128" t="s">
        <v>151</v>
      </c>
      <c r="F82" s="11">
        <v>465567</v>
      </c>
      <c r="G82" s="11">
        <f t="shared" si="2"/>
        <v>0</v>
      </c>
      <c r="H82" s="11">
        <v>465567</v>
      </c>
      <c r="I82" s="11">
        <f t="shared" si="1"/>
        <v>0</v>
      </c>
      <c r="J82" s="127">
        <v>465567</v>
      </c>
      <c r="L82" s="22"/>
    </row>
    <row r="83" spans="1:14" ht="21" customHeight="1" x14ac:dyDescent="0.2">
      <c r="A83" s="8" t="s">
        <v>192</v>
      </c>
      <c r="B83" s="9" t="s">
        <v>55</v>
      </c>
      <c r="C83" s="10" t="s">
        <v>283</v>
      </c>
      <c r="E83" s="128" t="s">
        <v>305</v>
      </c>
      <c r="F83" s="21">
        <v>50000</v>
      </c>
      <c r="G83" s="11">
        <f t="shared" si="2"/>
        <v>0</v>
      </c>
      <c r="H83" s="11">
        <v>50000</v>
      </c>
      <c r="I83" s="11">
        <f t="shared" si="1"/>
        <v>0</v>
      </c>
      <c r="J83" s="127">
        <v>50000</v>
      </c>
    </row>
    <row r="84" spans="1:14" ht="21" customHeight="1" x14ac:dyDescent="0.2">
      <c r="A84" s="8">
        <v>3494</v>
      </c>
      <c r="E84" s="128" t="s">
        <v>152</v>
      </c>
      <c r="F84" s="11">
        <v>600000</v>
      </c>
      <c r="G84" s="11">
        <f t="shared" si="2"/>
        <v>0</v>
      </c>
      <c r="H84" s="11">
        <v>600000</v>
      </c>
      <c r="I84" s="11">
        <f t="shared" si="1"/>
        <v>0</v>
      </c>
      <c r="J84" s="127">
        <v>600000</v>
      </c>
    </row>
    <row r="85" spans="1:14" ht="21" customHeight="1" x14ac:dyDescent="0.2">
      <c r="A85" s="8" t="s">
        <v>61</v>
      </c>
      <c r="B85" s="9" t="s">
        <v>55</v>
      </c>
      <c r="C85" s="10" t="s">
        <v>401</v>
      </c>
      <c r="E85" s="128" t="s">
        <v>670</v>
      </c>
      <c r="F85" s="11">
        <v>20000</v>
      </c>
      <c r="G85" s="11">
        <f t="shared" si="2"/>
        <v>0</v>
      </c>
      <c r="H85" s="11">
        <v>20000</v>
      </c>
      <c r="I85" s="11">
        <f t="shared" si="1"/>
        <v>0</v>
      </c>
      <c r="J85" s="127">
        <v>20000</v>
      </c>
    </row>
    <row r="86" spans="1:14" ht="21" hidden="1" customHeight="1" x14ac:dyDescent="0.2">
      <c r="A86" s="8" t="s">
        <v>61</v>
      </c>
      <c r="B86" s="9" t="s">
        <v>55</v>
      </c>
      <c r="C86" s="10" t="s">
        <v>402</v>
      </c>
      <c r="E86" s="128" t="s">
        <v>403</v>
      </c>
      <c r="F86" s="11">
        <v>0</v>
      </c>
      <c r="G86" s="11">
        <f t="shared" si="2"/>
        <v>0</v>
      </c>
      <c r="H86" s="11"/>
      <c r="I86" s="11">
        <f t="shared" si="1"/>
        <v>0</v>
      </c>
      <c r="J86" s="127"/>
    </row>
    <row r="87" spans="1:14" ht="21" hidden="1" customHeight="1" x14ac:dyDescent="0.2">
      <c r="A87" s="8" t="s">
        <v>61</v>
      </c>
      <c r="B87" s="9" t="s">
        <v>55</v>
      </c>
      <c r="C87" s="10" t="s">
        <v>285</v>
      </c>
      <c r="E87" s="128" t="s">
        <v>239</v>
      </c>
      <c r="F87" s="11">
        <v>0</v>
      </c>
      <c r="G87" s="11">
        <f t="shared" ref="G87:G99" si="3">H87-F87</f>
        <v>0</v>
      </c>
      <c r="H87" s="11"/>
      <c r="I87" s="11">
        <f t="shared" si="1"/>
        <v>0</v>
      </c>
      <c r="J87" s="127"/>
      <c r="L87" s="19"/>
      <c r="M87" s="19"/>
      <c r="N87" s="20"/>
    </row>
    <row r="88" spans="1:14" ht="21" customHeight="1" x14ac:dyDescent="0.2">
      <c r="A88" s="8" t="s">
        <v>61</v>
      </c>
      <c r="B88" s="9" t="s">
        <v>55</v>
      </c>
      <c r="C88" s="10" t="s">
        <v>286</v>
      </c>
      <c r="E88" s="128" t="s">
        <v>241</v>
      </c>
      <c r="F88" s="11">
        <v>9000</v>
      </c>
      <c r="G88" s="11">
        <f t="shared" si="3"/>
        <v>0</v>
      </c>
      <c r="H88" s="11">
        <v>9000</v>
      </c>
      <c r="I88" s="11">
        <f t="shared" si="1"/>
        <v>0</v>
      </c>
      <c r="J88" s="127">
        <v>9000</v>
      </c>
      <c r="L88" s="19"/>
      <c r="M88" s="19"/>
      <c r="N88" s="20"/>
    </row>
    <row r="89" spans="1:14" ht="21" hidden="1" customHeight="1" x14ac:dyDescent="0.2">
      <c r="A89" s="8" t="s">
        <v>61</v>
      </c>
      <c r="B89" s="9" t="s">
        <v>55</v>
      </c>
      <c r="C89" s="10" t="s">
        <v>287</v>
      </c>
      <c r="E89" s="128" t="s">
        <v>242</v>
      </c>
      <c r="F89" s="11"/>
      <c r="G89" s="11">
        <f t="shared" si="3"/>
        <v>0</v>
      </c>
      <c r="H89" s="11"/>
      <c r="I89" s="11">
        <f t="shared" si="1"/>
        <v>0</v>
      </c>
      <c r="J89" s="127"/>
      <c r="L89" s="19"/>
      <c r="M89" s="19"/>
      <c r="N89" s="20"/>
    </row>
    <row r="90" spans="1:14" ht="21" customHeight="1" x14ac:dyDescent="0.2">
      <c r="A90" s="8" t="s">
        <v>61</v>
      </c>
      <c r="B90" s="9" t="s">
        <v>55</v>
      </c>
      <c r="C90" s="10" t="s">
        <v>393</v>
      </c>
      <c r="E90" s="128" t="s">
        <v>394</v>
      </c>
      <c r="F90" s="11">
        <v>62000</v>
      </c>
      <c r="G90" s="11">
        <f t="shared" si="3"/>
        <v>0</v>
      </c>
      <c r="H90" s="11">
        <v>62000</v>
      </c>
      <c r="I90" s="11">
        <f t="shared" si="1"/>
        <v>0</v>
      </c>
      <c r="J90" s="127">
        <v>62000</v>
      </c>
      <c r="L90" s="19"/>
      <c r="M90" s="19"/>
      <c r="N90" s="20"/>
    </row>
    <row r="91" spans="1:14" ht="21" hidden="1" customHeight="1" x14ac:dyDescent="0.2">
      <c r="A91" s="8" t="s">
        <v>61</v>
      </c>
      <c r="B91" s="9" t="s">
        <v>55</v>
      </c>
      <c r="C91" s="10" t="s">
        <v>293</v>
      </c>
      <c r="E91" s="128" t="s">
        <v>240</v>
      </c>
      <c r="F91" s="11"/>
      <c r="G91" s="11">
        <f t="shared" si="3"/>
        <v>0</v>
      </c>
      <c r="H91" s="11"/>
      <c r="I91" s="11">
        <f t="shared" si="1"/>
        <v>0</v>
      </c>
      <c r="J91" s="127"/>
      <c r="L91" s="19"/>
      <c r="M91" s="19"/>
      <c r="N91" s="20"/>
    </row>
    <row r="92" spans="1:14" ht="21" customHeight="1" x14ac:dyDescent="0.2">
      <c r="A92" s="8" t="s">
        <v>61</v>
      </c>
      <c r="B92" s="9" t="s">
        <v>55</v>
      </c>
      <c r="C92" s="10" t="s">
        <v>392</v>
      </c>
      <c r="E92" s="128" t="s">
        <v>90</v>
      </c>
      <c r="F92" s="11">
        <v>100000</v>
      </c>
      <c r="G92" s="11">
        <f t="shared" si="3"/>
        <v>0</v>
      </c>
      <c r="H92" s="11">
        <v>100000</v>
      </c>
      <c r="I92" s="11">
        <f t="shared" si="1"/>
        <v>0</v>
      </c>
      <c r="J92" s="127">
        <v>100000</v>
      </c>
      <c r="L92" s="19"/>
      <c r="M92" s="19"/>
      <c r="N92" s="20"/>
    </row>
    <row r="93" spans="1:14" ht="21" customHeight="1" x14ac:dyDescent="0.2">
      <c r="A93" s="8" t="s">
        <v>61</v>
      </c>
      <c r="B93" s="9" t="s">
        <v>55</v>
      </c>
      <c r="C93" s="10" t="s">
        <v>282</v>
      </c>
      <c r="E93" s="128" t="s">
        <v>397</v>
      </c>
      <c r="F93" s="11">
        <v>260000</v>
      </c>
      <c r="G93" s="11">
        <f t="shared" si="3"/>
        <v>0</v>
      </c>
      <c r="H93" s="11">
        <v>260000</v>
      </c>
      <c r="I93" s="11">
        <f t="shared" si="1"/>
        <v>0</v>
      </c>
      <c r="J93" s="127">
        <v>260000</v>
      </c>
      <c r="L93" s="19"/>
      <c r="M93" s="19"/>
      <c r="N93" s="20"/>
    </row>
    <row r="94" spans="1:14" ht="21" customHeight="1" x14ac:dyDescent="0.2">
      <c r="A94" s="8" t="s">
        <v>61</v>
      </c>
      <c r="B94" s="9" t="s">
        <v>55</v>
      </c>
      <c r="C94" s="10" t="s">
        <v>281</v>
      </c>
      <c r="E94" s="128" t="s">
        <v>398</v>
      </c>
      <c r="F94" s="11">
        <v>13000</v>
      </c>
      <c r="G94" s="11">
        <f t="shared" si="3"/>
        <v>0</v>
      </c>
      <c r="H94" s="11">
        <v>13000</v>
      </c>
      <c r="I94" s="11">
        <f t="shared" si="1"/>
        <v>0</v>
      </c>
      <c r="J94" s="127">
        <v>13000</v>
      </c>
      <c r="L94" s="19"/>
      <c r="M94" s="19"/>
      <c r="N94" s="20"/>
    </row>
    <row r="95" spans="1:14" ht="21" customHeight="1" x14ac:dyDescent="0.2">
      <c r="A95" s="8" t="s">
        <v>61</v>
      </c>
      <c r="B95" s="9" t="s">
        <v>55</v>
      </c>
      <c r="C95" s="10" t="s">
        <v>399</v>
      </c>
      <c r="E95" s="128" t="s">
        <v>400</v>
      </c>
      <c r="F95" s="11">
        <v>20000</v>
      </c>
      <c r="G95" s="11">
        <f t="shared" si="3"/>
        <v>0</v>
      </c>
      <c r="H95" s="11">
        <v>20000</v>
      </c>
      <c r="I95" s="11">
        <f t="shared" si="1"/>
        <v>0</v>
      </c>
      <c r="J95" s="127">
        <v>20000</v>
      </c>
      <c r="L95" s="19"/>
      <c r="M95" s="19"/>
      <c r="N95" s="20"/>
    </row>
    <row r="96" spans="1:14" ht="21" customHeight="1" x14ac:dyDescent="0.2">
      <c r="A96" s="8" t="s">
        <v>61</v>
      </c>
      <c r="B96" s="9" t="s">
        <v>55</v>
      </c>
      <c r="C96" s="10" t="s">
        <v>288</v>
      </c>
      <c r="E96" s="128" t="s">
        <v>236</v>
      </c>
      <c r="F96" s="11">
        <v>62503</v>
      </c>
      <c r="G96" s="11">
        <f t="shared" si="3"/>
        <v>0</v>
      </c>
      <c r="H96" s="11">
        <v>62503</v>
      </c>
      <c r="I96" s="11">
        <f t="shared" si="1"/>
        <v>0</v>
      </c>
      <c r="J96" s="127">
        <v>62503</v>
      </c>
      <c r="L96" s="19"/>
      <c r="M96" s="19"/>
      <c r="N96" s="20"/>
    </row>
    <row r="97" spans="1:14" ht="21" hidden="1" customHeight="1" x14ac:dyDescent="0.2">
      <c r="A97" s="8" t="s">
        <v>61</v>
      </c>
      <c r="B97" s="9" t="s">
        <v>237</v>
      </c>
      <c r="C97" s="10" t="s">
        <v>289</v>
      </c>
      <c r="E97" s="128" t="s">
        <v>296</v>
      </c>
      <c r="F97" s="11">
        <v>0</v>
      </c>
      <c r="G97" s="11">
        <f t="shared" si="3"/>
        <v>0</v>
      </c>
      <c r="H97" s="11"/>
      <c r="I97" s="11">
        <f t="shared" si="1"/>
        <v>0</v>
      </c>
      <c r="J97" s="127"/>
      <c r="L97" s="19"/>
      <c r="M97" s="19"/>
      <c r="N97" s="20"/>
    </row>
    <row r="98" spans="1:14" ht="21" hidden="1" customHeight="1" x14ac:dyDescent="0.2">
      <c r="A98" s="8" t="s">
        <v>61</v>
      </c>
      <c r="B98" s="9" t="s">
        <v>237</v>
      </c>
      <c r="C98" s="10" t="s">
        <v>284</v>
      </c>
      <c r="E98" s="128" t="s">
        <v>238</v>
      </c>
      <c r="F98" s="11">
        <v>0</v>
      </c>
      <c r="G98" s="11">
        <f t="shared" si="3"/>
        <v>0</v>
      </c>
      <c r="H98" s="11"/>
      <c r="I98" s="11">
        <f t="shared" si="1"/>
        <v>0</v>
      </c>
      <c r="J98" s="127"/>
      <c r="L98" s="19"/>
      <c r="M98" s="19"/>
      <c r="N98" s="20"/>
    </row>
    <row r="99" spans="1:14" ht="21" hidden="1" customHeight="1" x14ac:dyDescent="0.2">
      <c r="A99" s="8" t="s">
        <v>61</v>
      </c>
      <c r="B99" s="9" t="s">
        <v>256</v>
      </c>
      <c r="E99" s="128" t="s">
        <v>257</v>
      </c>
      <c r="F99" s="11">
        <v>0</v>
      </c>
      <c r="G99" s="11">
        <f t="shared" si="3"/>
        <v>0</v>
      </c>
      <c r="H99" s="11"/>
      <c r="I99" s="11">
        <f t="shared" si="1"/>
        <v>0</v>
      </c>
      <c r="J99" s="127"/>
      <c r="L99" s="19"/>
      <c r="M99" s="19"/>
      <c r="N99" s="20"/>
    </row>
    <row r="100" spans="1:14" ht="21" customHeight="1" x14ac:dyDescent="0.2">
      <c r="A100" s="13">
        <v>3495</v>
      </c>
      <c r="B100" s="14" t="s">
        <v>12</v>
      </c>
      <c r="C100" s="15"/>
      <c r="D100" s="15"/>
      <c r="E100" s="126" t="s">
        <v>93</v>
      </c>
      <c r="F100" s="11">
        <v>0</v>
      </c>
      <c r="G100" s="11">
        <f t="shared" si="2"/>
        <v>108498.05</v>
      </c>
      <c r="H100" s="11">
        <v>108498.05</v>
      </c>
      <c r="I100" s="11">
        <f t="shared" si="1"/>
        <v>80753.849999999991</v>
      </c>
      <c r="J100" s="127">
        <v>189251.9</v>
      </c>
      <c r="L100" s="19"/>
      <c r="M100" s="20"/>
      <c r="N100" s="20"/>
    </row>
    <row r="101" spans="1:14" ht="21" hidden="1" customHeight="1" x14ac:dyDescent="0.2">
      <c r="A101" s="8" t="s">
        <v>126</v>
      </c>
      <c r="E101" s="128" t="s">
        <v>127</v>
      </c>
      <c r="F101" s="11">
        <v>0</v>
      </c>
      <c r="G101" s="11">
        <f t="shared" si="2"/>
        <v>0</v>
      </c>
      <c r="H101" s="11">
        <v>0</v>
      </c>
      <c r="I101" s="11">
        <f t="shared" si="1"/>
        <v>0</v>
      </c>
      <c r="J101" s="127">
        <v>0</v>
      </c>
      <c r="L101" s="19"/>
      <c r="M101" s="19"/>
      <c r="N101" s="20"/>
    </row>
    <row r="102" spans="1:14" ht="21" hidden="1" customHeight="1" x14ac:dyDescent="0.2">
      <c r="A102" s="8" t="s">
        <v>45</v>
      </c>
      <c r="B102" s="9" t="s">
        <v>55</v>
      </c>
      <c r="E102" s="128" t="s">
        <v>46</v>
      </c>
      <c r="F102" s="11">
        <v>0</v>
      </c>
      <c r="G102" s="11">
        <f t="shared" si="2"/>
        <v>0</v>
      </c>
      <c r="H102" s="11">
        <v>0</v>
      </c>
      <c r="I102" s="11">
        <f t="shared" si="1"/>
        <v>0</v>
      </c>
      <c r="J102" s="127">
        <v>0</v>
      </c>
      <c r="L102" s="19"/>
      <c r="M102" s="19"/>
      <c r="N102" s="20"/>
    </row>
    <row r="103" spans="1:14" ht="21" hidden="1" customHeight="1" x14ac:dyDescent="0.2">
      <c r="A103" s="8" t="s">
        <v>203</v>
      </c>
      <c r="B103" s="9" t="s">
        <v>55</v>
      </c>
      <c r="E103" s="128" t="s">
        <v>506</v>
      </c>
      <c r="F103" s="11">
        <v>0</v>
      </c>
      <c r="G103" s="11">
        <v>0</v>
      </c>
      <c r="H103" s="11">
        <v>0</v>
      </c>
      <c r="I103" s="11">
        <f>J103-H103</f>
        <v>0</v>
      </c>
      <c r="J103" s="127">
        <v>0</v>
      </c>
      <c r="L103" s="19"/>
      <c r="M103" s="19"/>
      <c r="N103" s="20"/>
    </row>
    <row r="104" spans="1:14" ht="21" hidden="1" customHeight="1" x14ac:dyDescent="0.2">
      <c r="A104" s="8" t="s">
        <v>54</v>
      </c>
      <c r="B104" s="9" t="s">
        <v>55</v>
      </c>
      <c r="E104" s="128" t="s">
        <v>58</v>
      </c>
      <c r="F104" s="11">
        <v>0</v>
      </c>
      <c r="G104" s="11">
        <f t="shared" si="2"/>
        <v>0</v>
      </c>
      <c r="H104" s="11">
        <v>0</v>
      </c>
      <c r="I104" s="11">
        <f>J104-H104</f>
        <v>0</v>
      </c>
      <c r="J104" s="127">
        <v>0</v>
      </c>
      <c r="L104" s="19"/>
      <c r="M104" s="19"/>
      <c r="N104" s="20"/>
    </row>
    <row r="105" spans="1:14" ht="21" hidden="1" customHeight="1" x14ac:dyDescent="0.2">
      <c r="A105" s="8" t="s">
        <v>47</v>
      </c>
      <c r="B105" s="9" t="s">
        <v>55</v>
      </c>
      <c r="E105" s="128" t="s">
        <v>165</v>
      </c>
      <c r="F105" s="11">
        <v>0</v>
      </c>
      <c r="G105" s="11">
        <v>0</v>
      </c>
      <c r="H105" s="11">
        <v>0</v>
      </c>
      <c r="I105" s="11">
        <f>J105-H105</f>
        <v>0</v>
      </c>
      <c r="J105" s="127">
        <v>0</v>
      </c>
      <c r="L105" s="19"/>
      <c r="M105" s="19"/>
      <c r="N105" s="20"/>
    </row>
    <row r="106" spans="1:14" ht="21" hidden="1" customHeight="1" x14ac:dyDescent="0.2">
      <c r="A106" s="8" t="s">
        <v>229</v>
      </c>
      <c r="B106" s="9" t="s">
        <v>55</v>
      </c>
      <c r="E106" s="128" t="s">
        <v>230</v>
      </c>
      <c r="F106" s="11">
        <v>0</v>
      </c>
      <c r="G106" s="11">
        <f t="shared" si="2"/>
        <v>0</v>
      </c>
      <c r="H106" s="11">
        <v>0</v>
      </c>
      <c r="I106" s="11">
        <f>J106-H106</f>
        <v>0</v>
      </c>
      <c r="J106" s="127">
        <v>0</v>
      </c>
      <c r="L106" s="19"/>
      <c r="M106" s="19"/>
      <c r="N106" s="20"/>
    </row>
    <row r="107" spans="1:14" ht="21" customHeight="1" thickBot="1" x14ac:dyDescent="0.25">
      <c r="A107" s="8"/>
      <c r="E107" s="129" t="s">
        <v>13</v>
      </c>
      <c r="F107" s="16">
        <f>SUBTOTAL(9,F46:F106)</f>
        <v>127209697</v>
      </c>
      <c r="G107" s="16">
        <f t="shared" ref="G107:G113" si="4">H107-F107</f>
        <v>5866672.7699999958</v>
      </c>
      <c r="H107" s="16">
        <f>SUBTOTAL(9,H46:H106)</f>
        <v>133076369.77</v>
      </c>
      <c r="I107" s="16">
        <f>SUBTOTAL(9,I46:I106)</f>
        <v>151336.82</v>
      </c>
      <c r="J107" s="130">
        <f>SUBTOTAL(9,J46:J106)</f>
        <v>133227706.59</v>
      </c>
    </row>
    <row r="108" spans="1:14" ht="21" hidden="1" customHeight="1" thickTop="1" x14ac:dyDescent="0.2">
      <c r="A108" s="8" t="s">
        <v>190</v>
      </c>
      <c r="B108" s="9" t="s">
        <v>36</v>
      </c>
      <c r="E108" s="128" t="s">
        <v>191</v>
      </c>
      <c r="F108" s="11">
        <v>0</v>
      </c>
      <c r="G108" s="11">
        <f>H108-F108</f>
        <v>0</v>
      </c>
      <c r="H108" s="11">
        <v>0</v>
      </c>
      <c r="I108" s="11">
        <f>+J108-H108</f>
        <v>0</v>
      </c>
      <c r="J108" s="127">
        <v>0</v>
      </c>
    </row>
    <row r="109" spans="1:14" ht="21" customHeight="1" thickTop="1" x14ac:dyDescent="0.2">
      <c r="A109" s="8">
        <v>3630</v>
      </c>
      <c r="B109" s="9">
        <v>9001</v>
      </c>
      <c r="E109" s="128" t="s">
        <v>34</v>
      </c>
      <c r="F109" s="11">
        <v>6202406</v>
      </c>
      <c r="G109" s="11">
        <f t="shared" si="4"/>
        <v>0</v>
      </c>
      <c r="H109" s="11">
        <v>6202406</v>
      </c>
      <c r="I109" s="11">
        <f>+J109-H109</f>
        <v>0</v>
      </c>
      <c r="J109" s="127">
        <v>6202406</v>
      </c>
    </row>
    <row r="110" spans="1:14" ht="21" customHeight="1" x14ac:dyDescent="0.2">
      <c r="A110" s="8" t="s">
        <v>133</v>
      </c>
      <c r="B110" s="9" t="s">
        <v>55</v>
      </c>
      <c r="E110" s="128" t="s">
        <v>134</v>
      </c>
      <c r="F110" s="11">
        <v>250000</v>
      </c>
      <c r="G110" s="11">
        <f t="shared" si="4"/>
        <v>0</v>
      </c>
      <c r="H110" s="11">
        <v>250000</v>
      </c>
      <c r="I110" s="11">
        <f>+J110-H110</f>
        <v>0</v>
      </c>
      <c r="J110" s="127">
        <v>250000</v>
      </c>
    </row>
    <row r="111" spans="1:14" ht="21" hidden="1" customHeight="1" x14ac:dyDescent="0.2">
      <c r="A111" s="8" t="s">
        <v>62</v>
      </c>
      <c r="B111" s="9" t="s">
        <v>55</v>
      </c>
      <c r="E111" s="128" t="s">
        <v>63</v>
      </c>
      <c r="F111" s="11">
        <v>0</v>
      </c>
      <c r="G111" s="11">
        <f t="shared" si="4"/>
        <v>0</v>
      </c>
      <c r="H111" s="11">
        <v>0</v>
      </c>
      <c r="I111" s="11">
        <f>+J111-H111</f>
        <v>0</v>
      </c>
      <c r="J111" s="127">
        <v>0</v>
      </c>
    </row>
    <row r="112" spans="1:14" ht="21" customHeight="1" thickBot="1" x14ac:dyDescent="0.25">
      <c r="A112" s="13"/>
      <c r="B112" s="14"/>
      <c r="C112" s="15"/>
      <c r="D112" s="15"/>
      <c r="E112" s="129" t="s">
        <v>35</v>
      </c>
      <c r="F112" s="16">
        <f>SUBTOTAL(9,F108:F111)</f>
        <v>6452406</v>
      </c>
      <c r="G112" s="16">
        <f t="shared" si="4"/>
        <v>0</v>
      </c>
      <c r="H112" s="16">
        <f>SUBTOTAL(9,H108:H111)</f>
        <v>6452406</v>
      </c>
      <c r="I112" s="16">
        <f>J112-H112</f>
        <v>0</v>
      </c>
      <c r="J112" s="130">
        <f>SUBTOTAL(9,J108:J111)</f>
        <v>6452406</v>
      </c>
    </row>
    <row r="113" spans="1:13" ht="21" customHeight="1" thickTop="1" thickBot="1" x14ac:dyDescent="0.25">
      <c r="A113" s="8"/>
      <c r="E113" s="131" t="s">
        <v>14</v>
      </c>
      <c r="F113" s="16">
        <f>SUBTOTAL(9,F4:F112)</f>
        <v>291063863</v>
      </c>
      <c r="G113" s="16">
        <f t="shared" si="4"/>
        <v>6516255.4499999881</v>
      </c>
      <c r="H113" s="16">
        <f>SUBTOTAL(9,H4:H112)</f>
        <v>297580118.44999999</v>
      </c>
      <c r="I113" s="16">
        <f>J113-H113</f>
        <v>152883.81999999285</v>
      </c>
      <c r="J113" s="130">
        <f>SUBTOTAL(9,J4:J112)</f>
        <v>297733002.26999998</v>
      </c>
      <c r="M113" s="25"/>
    </row>
    <row r="114" spans="1:13" ht="21" customHeight="1" thickTop="1" x14ac:dyDescent="0.2">
      <c r="A114" s="8"/>
      <c r="E114" s="128"/>
      <c r="F114" s="11"/>
      <c r="G114" s="11"/>
      <c r="H114" s="11"/>
      <c r="I114" s="11"/>
      <c r="J114" s="127"/>
    </row>
    <row r="115" spans="1:13" ht="21" customHeight="1" x14ac:dyDescent="0.2">
      <c r="A115" s="8"/>
      <c r="E115" s="128" t="s">
        <v>541</v>
      </c>
      <c r="F115" s="11"/>
      <c r="G115" s="11"/>
      <c r="H115" s="11"/>
      <c r="I115" s="11"/>
      <c r="J115" s="127"/>
    </row>
    <row r="116" spans="1:13" ht="21" customHeight="1" x14ac:dyDescent="0.2">
      <c r="A116" s="8"/>
      <c r="D116" s="4"/>
      <c r="E116" s="132" t="s">
        <v>492</v>
      </c>
      <c r="F116" s="43">
        <v>756548.3</v>
      </c>
      <c r="G116" s="11">
        <f t="shared" ref="G116:G121" si="5">H116-F116</f>
        <v>0</v>
      </c>
      <c r="H116" s="11">
        <v>756548.3</v>
      </c>
      <c r="I116" s="11">
        <f t="shared" ref="I116:I121" si="6">J116-H116</f>
        <v>0</v>
      </c>
      <c r="J116" s="127">
        <v>756548.3</v>
      </c>
    </row>
    <row r="117" spans="1:13" ht="21" customHeight="1" x14ac:dyDescent="0.2">
      <c r="A117" s="8"/>
      <c r="D117" s="4"/>
      <c r="E117" s="132" t="s">
        <v>493</v>
      </c>
      <c r="F117" s="43">
        <v>770891.23</v>
      </c>
      <c r="G117" s="11">
        <f t="shared" si="5"/>
        <v>0</v>
      </c>
      <c r="H117" s="11">
        <v>770891.23</v>
      </c>
      <c r="I117" s="11">
        <f t="shared" si="6"/>
        <v>0</v>
      </c>
      <c r="J117" s="127">
        <v>770891.23</v>
      </c>
    </row>
    <row r="118" spans="1:13" ht="21" customHeight="1" x14ac:dyDescent="0.2">
      <c r="A118" s="8"/>
      <c r="D118" s="4"/>
      <c r="E118" s="132" t="s">
        <v>494</v>
      </c>
      <c r="F118" s="37">
        <v>8802173.8100000005</v>
      </c>
      <c r="G118" s="11">
        <f t="shared" si="5"/>
        <v>0</v>
      </c>
      <c r="H118" s="11">
        <v>8802173.8100000005</v>
      </c>
      <c r="I118" s="11">
        <f t="shared" si="6"/>
        <v>0</v>
      </c>
      <c r="J118" s="127">
        <v>8802173.8100000005</v>
      </c>
    </row>
    <row r="119" spans="1:13" ht="21" customHeight="1" x14ac:dyDescent="0.2">
      <c r="A119" s="8"/>
      <c r="D119" s="4"/>
      <c r="E119" s="132" t="s">
        <v>495</v>
      </c>
      <c r="F119" s="37">
        <v>12362524</v>
      </c>
      <c r="G119" s="11">
        <f t="shared" si="5"/>
        <v>0</v>
      </c>
      <c r="H119" s="11">
        <v>12362524</v>
      </c>
      <c r="I119" s="11">
        <f t="shared" si="6"/>
        <v>0</v>
      </c>
      <c r="J119" s="127">
        <v>12362524</v>
      </c>
    </row>
    <row r="120" spans="1:13" ht="21" customHeight="1" x14ac:dyDescent="0.2">
      <c r="A120" s="8"/>
      <c r="D120" s="4"/>
      <c r="E120" s="132" t="s">
        <v>496</v>
      </c>
      <c r="F120" s="37">
        <v>11334291.02</v>
      </c>
      <c r="G120" s="11">
        <f t="shared" si="5"/>
        <v>0</v>
      </c>
      <c r="H120" s="11">
        <v>11334291.02</v>
      </c>
      <c r="I120" s="11">
        <f t="shared" si="6"/>
        <v>0</v>
      </c>
      <c r="J120" s="127">
        <v>11334291.02</v>
      </c>
    </row>
    <row r="121" spans="1:13" ht="21" customHeight="1" x14ac:dyDescent="0.2">
      <c r="A121" s="8"/>
      <c r="E121" s="128" t="s">
        <v>497</v>
      </c>
      <c r="F121" s="37">
        <v>12813866.07</v>
      </c>
      <c r="G121" s="11">
        <f t="shared" si="5"/>
        <v>0</v>
      </c>
      <c r="H121" s="11">
        <v>12813866.07</v>
      </c>
      <c r="I121" s="11">
        <f t="shared" si="6"/>
        <v>0</v>
      </c>
      <c r="J121" s="127">
        <v>12813866.07</v>
      </c>
    </row>
    <row r="122" spans="1:13" s="17" customFormat="1" ht="21" customHeight="1" thickBot="1" x14ac:dyDescent="0.25">
      <c r="A122" s="13"/>
      <c r="B122" s="14"/>
      <c r="C122" s="15"/>
      <c r="D122" s="15"/>
      <c r="E122" s="129" t="s">
        <v>15</v>
      </c>
      <c r="F122" s="16">
        <f>SUBTOTAL(9,F116:F121)</f>
        <v>46840294.43</v>
      </c>
      <c r="G122" s="16">
        <f>SUBTOTAL(9,G116:G121)</f>
        <v>0</v>
      </c>
      <c r="H122" s="16">
        <f>SUBTOTAL(9,H116:H121)</f>
        <v>46840294.43</v>
      </c>
      <c r="I122" s="16">
        <f>SUBTOTAL(9,I116:I121)</f>
        <v>0</v>
      </c>
      <c r="J122" s="130">
        <f>SUBTOTAL(9,J116:J121)</f>
        <v>46840294.43</v>
      </c>
    </row>
    <row r="123" spans="1:13" ht="21" customHeight="1" thickTop="1" x14ac:dyDescent="0.2">
      <c r="A123" s="8"/>
      <c r="E123" s="128"/>
      <c r="F123" s="11"/>
      <c r="G123" s="11"/>
      <c r="H123" s="11"/>
      <c r="I123" s="11" t="s">
        <v>0</v>
      </c>
      <c r="J123" s="127"/>
    </row>
    <row r="124" spans="1:13" ht="9.75" customHeight="1" x14ac:dyDescent="0.25">
      <c r="A124" s="8"/>
      <c r="E124" s="126"/>
      <c r="F124" s="26"/>
      <c r="G124" s="26"/>
      <c r="H124" s="26"/>
      <c r="I124" s="26"/>
      <c r="J124" s="133"/>
    </row>
    <row r="125" spans="1:13" ht="21" customHeight="1" thickBot="1" x14ac:dyDescent="0.25">
      <c r="A125" s="27"/>
      <c r="B125" s="28"/>
      <c r="C125" s="6"/>
      <c r="D125" s="6"/>
      <c r="E125" s="134" t="s">
        <v>549</v>
      </c>
      <c r="F125" s="137">
        <f>SUBTOTAL(9,F4:F124)</f>
        <v>337904157.43000001</v>
      </c>
      <c r="G125" s="137">
        <f>G113+G122</f>
        <v>6516255.4499999881</v>
      </c>
      <c r="H125" s="138">
        <f>SUBTOTAL(9,H4:H124)</f>
        <v>344420412.88</v>
      </c>
      <c r="I125" s="137">
        <f>I113+I122</f>
        <v>152883.81999999285</v>
      </c>
      <c r="J125" s="139">
        <f>SUBTOTAL(9,J4:J124)</f>
        <v>344573296.69999999</v>
      </c>
    </row>
    <row r="126" spans="1:13" ht="20.100000000000001" customHeight="1" x14ac:dyDescent="0.2">
      <c r="G126" s="29"/>
      <c r="J126" s="29"/>
    </row>
    <row r="127" spans="1:13" ht="20.100000000000001" customHeight="1" x14ac:dyDescent="0.2">
      <c r="F127" s="11"/>
      <c r="G127" s="29"/>
      <c r="H127" s="11"/>
      <c r="J127" s="29"/>
    </row>
    <row r="128" spans="1:13" ht="20.100000000000001" customHeight="1" x14ac:dyDescent="0.2">
      <c r="F128" s="11"/>
      <c r="G128" s="29"/>
      <c r="H128" s="11"/>
      <c r="I128" s="29"/>
      <c r="J128" s="29"/>
    </row>
    <row r="129" spans="6:8" ht="20.100000000000001" customHeight="1" x14ac:dyDescent="0.2">
      <c r="F129" s="30"/>
      <c r="H129" s="30"/>
    </row>
    <row r="130" spans="6:8" ht="20.100000000000001" customHeight="1" x14ac:dyDescent="0.2">
      <c r="F130" s="29"/>
    </row>
  </sheetData>
  <sortState ref="A71:J79">
    <sortCondition ref="B71:B79"/>
    <sortCondition ref="C71:C79"/>
  </sortState>
  <mergeCells count="1">
    <mergeCell ref="E1:J1"/>
  </mergeCells>
  <phoneticPr fontId="0" type="noConversion"/>
  <printOptions horizontalCentered="1" gridLines="1"/>
  <pageMargins left="0.5" right="0.5" top="0.5" bottom="0.5" header="0.5" footer="0.25"/>
  <pageSetup scale="54" fitToHeight="2" orientation="landscape" r:id="rId1"/>
  <headerFooter alignWithMargins="0">
    <oddFooter>&amp;L&amp;"Verdana,Regular"&amp;16&amp;A&amp;C&amp;"Verdana,Regular"&amp;16Page &amp;P</oddFooter>
  </headerFooter>
  <ignoredErrors>
    <ignoredError sqref="G8 I8 G11 I11 I112:I113 G112:G113 G125 I125 G10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pane xSplit="2" ySplit="1" topLeftCell="C2" activePane="bottomRight" state="frozen"/>
      <selection sqref="A1:I1"/>
      <selection pane="topRight" sqref="A1:I1"/>
      <selection pane="bottomLeft" sqref="A1:I1"/>
      <selection pane="bottomRight" activeCell="D2" sqref="D2"/>
    </sheetView>
  </sheetViews>
  <sheetFormatPr defaultColWidth="9.140625" defaultRowHeight="24.95" customHeight="1" x14ac:dyDescent="0.2"/>
  <cols>
    <col min="1" max="1" width="56.42578125" style="33" customWidth="1"/>
    <col min="2" max="2" width="9" style="33" customWidth="1"/>
    <col min="3" max="3" width="27.7109375" style="33" customWidth="1"/>
    <col min="4" max="4" width="30" style="33" bestFit="1" customWidth="1"/>
    <col min="5" max="5" width="27.7109375" style="33" customWidth="1"/>
    <col min="6" max="6" width="22.5703125" style="33" bestFit="1" customWidth="1"/>
    <col min="7" max="7" width="30" style="33" bestFit="1" customWidth="1"/>
    <col min="8" max="8" width="28.85546875" style="47" customWidth="1"/>
    <col min="9" max="9" width="200.7109375" style="112" customWidth="1"/>
    <col min="10" max="10" width="136.85546875" style="33" customWidth="1"/>
    <col min="11" max="16384" width="9.140625" style="33"/>
  </cols>
  <sheetData>
    <row r="1" spans="1:10" ht="30" customHeight="1" x14ac:dyDescent="0.2">
      <c r="A1" s="147" t="s">
        <v>586</v>
      </c>
      <c r="B1" s="148"/>
      <c r="C1" s="148"/>
      <c r="D1" s="148"/>
      <c r="E1" s="148"/>
      <c r="F1" s="148"/>
      <c r="G1" s="148"/>
      <c r="H1" s="149"/>
      <c r="I1" s="83"/>
    </row>
    <row r="2" spans="1:10" ht="66.75" customHeight="1" x14ac:dyDescent="0.2">
      <c r="A2" s="150" t="s">
        <v>44</v>
      </c>
      <c r="B2" s="151"/>
      <c r="C2" s="35" t="s">
        <v>542</v>
      </c>
      <c r="D2" s="35" t="s">
        <v>667</v>
      </c>
      <c r="E2" s="35" t="s">
        <v>668</v>
      </c>
      <c r="F2" s="35" t="s">
        <v>584</v>
      </c>
      <c r="G2" s="35" t="s">
        <v>585</v>
      </c>
      <c r="H2" s="116" t="s">
        <v>583</v>
      </c>
      <c r="I2" s="34" t="s">
        <v>42</v>
      </c>
    </row>
    <row r="3" spans="1:10" ht="60" x14ac:dyDescent="0.2">
      <c r="A3" s="142" t="s">
        <v>553</v>
      </c>
      <c r="B3" s="36">
        <v>5000</v>
      </c>
      <c r="C3" s="37">
        <v>188691271.93000001</v>
      </c>
      <c r="D3" s="37">
        <f t="shared" ref="D3:D21" si="0">E3-C3</f>
        <v>7324228.2299999893</v>
      </c>
      <c r="E3" s="38">
        <v>196015500.16</v>
      </c>
      <c r="F3" s="38">
        <f>'INCREASE(DECREASE)'!B212</f>
        <v>31784.340000000004</v>
      </c>
      <c r="G3" s="37">
        <f>H3-F3-E3</f>
        <v>-49318.289999991655</v>
      </c>
      <c r="H3" s="117">
        <v>195997966.21000001</v>
      </c>
      <c r="I3" s="115" t="s">
        <v>624</v>
      </c>
      <c r="J3" s="54"/>
    </row>
    <row r="4" spans="1:10" ht="39.950000000000003" customHeight="1" x14ac:dyDescent="0.2">
      <c r="A4" s="142" t="s">
        <v>554</v>
      </c>
      <c r="B4" s="36">
        <v>6100</v>
      </c>
      <c r="C4" s="38">
        <v>18069058</v>
      </c>
      <c r="D4" s="37">
        <f>E4-C4</f>
        <v>409767.92000000179</v>
      </c>
      <c r="E4" s="38">
        <v>18478825.920000002</v>
      </c>
      <c r="F4" s="38">
        <f>'INCREASE(DECREASE)'!C212</f>
        <v>0</v>
      </c>
      <c r="G4" s="37">
        <f t="shared" ref="G4:G21" si="1">H4-F4-E4</f>
        <v>23.759999997913837</v>
      </c>
      <c r="H4" s="117">
        <v>18478849.68</v>
      </c>
      <c r="I4" s="115" t="s">
        <v>616</v>
      </c>
    </row>
    <row r="5" spans="1:10" ht="39.950000000000003" customHeight="1" x14ac:dyDescent="0.2">
      <c r="A5" s="142" t="s">
        <v>555</v>
      </c>
      <c r="B5" s="36">
        <v>6200</v>
      </c>
      <c r="C5" s="38">
        <v>4894417</v>
      </c>
      <c r="D5" s="37">
        <f t="shared" si="0"/>
        <v>18812.780000000261</v>
      </c>
      <c r="E5" s="37">
        <v>4913229.78</v>
      </c>
      <c r="F5" s="38">
        <f>'INCREASE(DECREASE)'!D212</f>
        <v>1300</v>
      </c>
      <c r="G5" s="37">
        <f t="shared" si="1"/>
        <v>27287.109999999404</v>
      </c>
      <c r="H5" s="118">
        <v>4941816.8899999997</v>
      </c>
      <c r="I5" s="115" t="s">
        <v>617</v>
      </c>
    </row>
    <row r="6" spans="1:10" ht="39.950000000000003" customHeight="1" x14ac:dyDescent="0.2">
      <c r="A6" s="142" t="s">
        <v>556</v>
      </c>
      <c r="B6" s="36">
        <v>6300</v>
      </c>
      <c r="C6" s="37">
        <v>4434092</v>
      </c>
      <c r="D6" s="37">
        <f t="shared" si="0"/>
        <v>199130.94000000041</v>
      </c>
      <c r="E6" s="37">
        <v>4633222.9400000004</v>
      </c>
      <c r="F6" s="38">
        <f>'INCREASE(DECREASE)'!E212</f>
        <v>0</v>
      </c>
      <c r="G6" s="37">
        <f t="shared" si="1"/>
        <v>84456.029999999329</v>
      </c>
      <c r="H6" s="118">
        <v>4717678.97</v>
      </c>
      <c r="I6" s="115" t="s">
        <v>618</v>
      </c>
    </row>
    <row r="7" spans="1:10" ht="39.75" customHeight="1" x14ac:dyDescent="0.2">
      <c r="A7" s="142" t="s">
        <v>557</v>
      </c>
      <c r="B7" s="36">
        <v>6400</v>
      </c>
      <c r="C7" s="37">
        <v>439493</v>
      </c>
      <c r="D7" s="37">
        <f t="shared" si="0"/>
        <v>230496.81000000006</v>
      </c>
      <c r="E7" s="37">
        <v>669989.81000000006</v>
      </c>
      <c r="F7" s="38">
        <f>'INCREASE(DECREASE)'!F212</f>
        <v>848.63</v>
      </c>
      <c r="G7" s="37">
        <f t="shared" si="1"/>
        <v>62331.099999999977</v>
      </c>
      <c r="H7" s="118">
        <v>733169.54</v>
      </c>
      <c r="I7" s="115" t="s">
        <v>620</v>
      </c>
    </row>
    <row r="8" spans="1:10" ht="39.950000000000003" customHeight="1" x14ac:dyDescent="0.2">
      <c r="A8" s="142" t="s">
        <v>558</v>
      </c>
      <c r="B8" s="36">
        <v>6500</v>
      </c>
      <c r="C8" s="37">
        <v>8899863</v>
      </c>
      <c r="D8" s="37">
        <f t="shared" si="0"/>
        <v>162041.26999999955</v>
      </c>
      <c r="E8" s="37">
        <v>9061904.2699999996</v>
      </c>
      <c r="F8" s="38">
        <f>'INCREASE(DECREASE)'!G212</f>
        <v>4070</v>
      </c>
      <c r="G8" s="37">
        <f t="shared" si="1"/>
        <v>0</v>
      </c>
      <c r="H8" s="118">
        <v>9065974.2699999996</v>
      </c>
      <c r="I8" s="115" t="s">
        <v>621</v>
      </c>
    </row>
    <row r="9" spans="1:10" ht="39.950000000000003" customHeight="1" x14ac:dyDescent="0.2">
      <c r="A9" s="142" t="s">
        <v>559</v>
      </c>
      <c r="B9" s="36">
        <v>7100</v>
      </c>
      <c r="C9" s="37">
        <v>1101950</v>
      </c>
      <c r="D9" s="37">
        <f t="shared" si="0"/>
        <v>1897.1599999999162</v>
      </c>
      <c r="E9" s="37">
        <v>1103847.1599999999</v>
      </c>
      <c r="F9" s="38">
        <f>'INCREASE(DECREASE)'!H212</f>
        <v>0</v>
      </c>
      <c r="G9" s="37">
        <f t="shared" si="1"/>
        <v>0</v>
      </c>
      <c r="H9" s="118">
        <v>1103847.1599999999</v>
      </c>
      <c r="I9" s="115"/>
    </row>
    <row r="10" spans="1:10" ht="39.950000000000003" customHeight="1" x14ac:dyDescent="0.2">
      <c r="A10" s="142" t="s">
        <v>560</v>
      </c>
      <c r="B10" s="36">
        <v>7200</v>
      </c>
      <c r="C10" s="37">
        <v>330145</v>
      </c>
      <c r="D10" s="37">
        <f t="shared" si="0"/>
        <v>0</v>
      </c>
      <c r="E10" s="37">
        <v>330145</v>
      </c>
      <c r="F10" s="38">
        <f>'INCREASE(DECREASE)'!I212</f>
        <v>0</v>
      </c>
      <c r="G10" s="37">
        <f t="shared" si="1"/>
        <v>0</v>
      </c>
      <c r="H10" s="118">
        <v>330145</v>
      </c>
      <c r="I10" s="115"/>
    </row>
    <row r="11" spans="1:10" ht="39.950000000000003" customHeight="1" x14ac:dyDescent="0.2">
      <c r="A11" s="142" t="s">
        <v>561</v>
      </c>
      <c r="B11" s="36">
        <v>7300</v>
      </c>
      <c r="C11" s="37">
        <v>18339623.07</v>
      </c>
      <c r="D11" s="37">
        <f t="shared" si="0"/>
        <v>579477.78999999911</v>
      </c>
      <c r="E11" s="37">
        <v>18919100.859999999</v>
      </c>
      <c r="F11" s="38">
        <f>'INCREASE(DECREASE)'!J212</f>
        <v>42079.93</v>
      </c>
      <c r="G11" s="37">
        <f t="shared" si="1"/>
        <v>-27927.289999999106</v>
      </c>
      <c r="H11" s="118">
        <v>18933253.5</v>
      </c>
      <c r="I11" s="115" t="s">
        <v>622</v>
      </c>
    </row>
    <row r="12" spans="1:10" ht="39.950000000000003" customHeight="1" x14ac:dyDescent="0.2">
      <c r="A12" s="142" t="s">
        <v>562</v>
      </c>
      <c r="B12" s="36">
        <v>7400</v>
      </c>
      <c r="C12" s="37">
        <v>4973766</v>
      </c>
      <c r="D12" s="37">
        <f t="shared" si="0"/>
        <v>1276821.2800000003</v>
      </c>
      <c r="E12" s="37">
        <v>6250587.2800000003</v>
      </c>
      <c r="F12" s="38">
        <f>'INCREASE(DECREASE)'!K212</f>
        <v>3150</v>
      </c>
      <c r="G12" s="37">
        <f t="shared" si="1"/>
        <v>24864.799999999814</v>
      </c>
      <c r="H12" s="118">
        <v>6278602.0800000001</v>
      </c>
      <c r="I12" s="115" t="s">
        <v>625</v>
      </c>
    </row>
    <row r="13" spans="1:10" ht="39.950000000000003" customHeight="1" x14ac:dyDescent="0.2">
      <c r="A13" s="142" t="s">
        <v>563</v>
      </c>
      <c r="B13" s="36">
        <v>7500</v>
      </c>
      <c r="C13" s="37">
        <v>2126533</v>
      </c>
      <c r="D13" s="37">
        <f t="shared" si="0"/>
        <v>0</v>
      </c>
      <c r="E13" s="37">
        <v>2126533</v>
      </c>
      <c r="F13" s="38">
        <f>'INCREASE(DECREASE)'!L212</f>
        <v>0</v>
      </c>
      <c r="G13" s="37">
        <f t="shared" si="1"/>
        <v>0</v>
      </c>
      <c r="H13" s="118">
        <v>2126533</v>
      </c>
      <c r="I13" s="115"/>
    </row>
    <row r="14" spans="1:10" ht="39.950000000000003" customHeight="1" x14ac:dyDescent="0.2">
      <c r="A14" s="142" t="s">
        <v>564</v>
      </c>
      <c r="B14" s="36">
        <v>7700</v>
      </c>
      <c r="C14" s="37">
        <v>3721158</v>
      </c>
      <c r="D14" s="37">
        <f t="shared" si="0"/>
        <v>10321.520000000019</v>
      </c>
      <c r="E14" s="37">
        <v>3731479.52</v>
      </c>
      <c r="F14" s="38">
        <f>'INCREASE(DECREASE)'!M212</f>
        <v>0</v>
      </c>
      <c r="G14" s="37">
        <f t="shared" si="1"/>
        <v>0</v>
      </c>
      <c r="H14" s="118">
        <v>3731479.52</v>
      </c>
      <c r="I14" s="115"/>
    </row>
    <row r="15" spans="1:10" ht="39.950000000000003" customHeight="1" x14ac:dyDescent="0.2">
      <c r="A15" s="142" t="s">
        <v>565</v>
      </c>
      <c r="B15" s="36">
        <v>7800</v>
      </c>
      <c r="C15" s="37">
        <v>14486187</v>
      </c>
      <c r="D15" s="37">
        <f t="shared" si="0"/>
        <v>152601.77999999933</v>
      </c>
      <c r="E15" s="37">
        <v>14638788.779999999</v>
      </c>
      <c r="F15" s="38">
        <f>'INCREASE(DECREASE)'!N212</f>
        <v>0</v>
      </c>
      <c r="G15" s="37">
        <f t="shared" si="1"/>
        <v>3499.6500000003725</v>
      </c>
      <c r="H15" s="118">
        <v>14642288.43</v>
      </c>
      <c r="I15" s="115" t="s">
        <v>623</v>
      </c>
    </row>
    <row r="16" spans="1:10" ht="39.950000000000003" customHeight="1" x14ac:dyDescent="0.2">
      <c r="A16" s="142" t="s">
        <v>566</v>
      </c>
      <c r="B16" s="36">
        <v>7900</v>
      </c>
      <c r="C16" s="37">
        <v>23516333.690000001</v>
      </c>
      <c r="D16" s="37">
        <f t="shared" si="0"/>
        <v>736646.26999999955</v>
      </c>
      <c r="E16" s="37">
        <v>24252979.960000001</v>
      </c>
      <c r="F16" s="38">
        <f>'INCREASE(DECREASE)'!O212</f>
        <v>56172.88</v>
      </c>
      <c r="G16" s="37">
        <f t="shared" si="1"/>
        <v>-3162.429999999702</v>
      </c>
      <c r="H16" s="118">
        <v>24305990.41</v>
      </c>
      <c r="I16" s="115" t="s">
        <v>627</v>
      </c>
    </row>
    <row r="17" spans="1:10" ht="39.950000000000003" customHeight="1" x14ac:dyDescent="0.2">
      <c r="A17" s="142" t="s">
        <v>567</v>
      </c>
      <c r="B17" s="36">
        <v>8100</v>
      </c>
      <c r="C17" s="37">
        <v>8491675.3100000005</v>
      </c>
      <c r="D17" s="37">
        <f t="shared" si="0"/>
        <v>264374.84999999963</v>
      </c>
      <c r="E17" s="37">
        <v>8756050.1600000001</v>
      </c>
      <c r="F17" s="38">
        <f>'INCREASE(DECREASE)'!P212</f>
        <v>1316</v>
      </c>
      <c r="G17" s="37">
        <f t="shared" si="1"/>
        <v>-9617.8300000000745</v>
      </c>
      <c r="H17" s="118">
        <v>8747748.3300000001</v>
      </c>
      <c r="I17" s="115" t="s">
        <v>628</v>
      </c>
    </row>
    <row r="18" spans="1:10" ht="39.950000000000003" customHeight="1" x14ac:dyDescent="0.2">
      <c r="A18" s="142" t="s">
        <v>568</v>
      </c>
      <c r="B18" s="36">
        <v>8200</v>
      </c>
      <c r="C18" s="37">
        <v>708313</v>
      </c>
      <c r="D18" s="37">
        <f t="shared" si="0"/>
        <v>21587.790000000037</v>
      </c>
      <c r="E18" s="37">
        <v>729900.79</v>
      </c>
      <c r="F18" s="38">
        <f>'INCREASE(DECREASE)'!Q212</f>
        <v>0</v>
      </c>
      <c r="G18" s="37">
        <f t="shared" si="1"/>
        <v>0</v>
      </c>
      <c r="H18" s="118">
        <v>729900.79</v>
      </c>
      <c r="I18" s="115"/>
    </row>
    <row r="19" spans="1:10" ht="39.950000000000003" customHeight="1" x14ac:dyDescent="0.2">
      <c r="A19" s="142" t="s">
        <v>569</v>
      </c>
      <c r="B19" s="36">
        <v>9100</v>
      </c>
      <c r="C19" s="37">
        <v>202508</v>
      </c>
      <c r="D19" s="37">
        <f t="shared" si="0"/>
        <v>7577472.9900000002</v>
      </c>
      <c r="E19" s="37">
        <v>7779980.9900000002</v>
      </c>
      <c r="F19" s="38">
        <f>'INCREASE(DECREASE)'!R212</f>
        <v>12162.04</v>
      </c>
      <c r="G19" s="37">
        <f t="shared" si="1"/>
        <v>-112436.61000000034</v>
      </c>
      <c r="H19" s="118">
        <v>7679706.4199999999</v>
      </c>
      <c r="I19" s="115" t="s">
        <v>626</v>
      </c>
    </row>
    <row r="20" spans="1:10" ht="42.75" hidden="1" customHeight="1" x14ac:dyDescent="0.2">
      <c r="A20" s="143" t="s">
        <v>24</v>
      </c>
      <c r="B20" s="36">
        <v>9200</v>
      </c>
      <c r="C20" s="37">
        <v>0</v>
      </c>
      <c r="D20" s="37">
        <f t="shared" si="0"/>
        <v>0</v>
      </c>
      <c r="E20" s="37">
        <v>0</v>
      </c>
      <c r="F20" s="37">
        <v>0</v>
      </c>
      <c r="G20" s="37">
        <f t="shared" si="1"/>
        <v>0</v>
      </c>
      <c r="H20" s="118">
        <v>0</v>
      </c>
    </row>
    <row r="21" spans="1:10" ht="35.25" hidden="1" customHeight="1" x14ac:dyDescent="0.2">
      <c r="A21" s="143" t="s">
        <v>304</v>
      </c>
      <c r="B21" s="36">
        <v>9700</v>
      </c>
      <c r="C21" s="37">
        <v>0</v>
      </c>
      <c r="D21" s="37">
        <f t="shared" si="0"/>
        <v>0</v>
      </c>
      <c r="E21" s="37">
        <v>0</v>
      </c>
      <c r="F21" s="39">
        <v>0</v>
      </c>
      <c r="G21" s="37">
        <f t="shared" si="1"/>
        <v>0</v>
      </c>
      <c r="H21" s="118">
        <v>0</v>
      </c>
    </row>
    <row r="22" spans="1:10" ht="30" customHeight="1" thickBot="1" x14ac:dyDescent="0.25">
      <c r="A22" s="119" t="s">
        <v>551</v>
      </c>
      <c r="B22" s="40"/>
      <c r="C22" s="41">
        <f t="shared" ref="C22:H22" si="2">SUM(C3:C21)</f>
        <v>303426387</v>
      </c>
      <c r="D22" s="41">
        <f t="shared" si="2"/>
        <v>18965679.379999988</v>
      </c>
      <c r="E22" s="41">
        <f t="shared" si="2"/>
        <v>322392066.38</v>
      </c>
      <c r="F22" s="41">
        <f t="shared" si="2"/>
        <v>152883.82</v>
      </c>
      <c r="G22" s="41">
        <f t="shared" si="2"/>
        <v>5.9371814131736755E-9</v>
      </c>
      <c r="H22" s="120">
        <f t="shared" si="2"/>
        <v>322544950.20000005</v>
      </c>
      <c r="I22" s="152"/>
      <c r="J22" s="42"/>
    </row>
    <row r="23" spans="1:10" ht="30" customHeight="1" thickTop="1" x14ac:dyDescent="0.2">
      <c r="A23" s="142" t="s">
        <v>570</v>
      </c>
      <c r="B23" s="36">
        <v>2710</v>
      </c>
      <c r="C23" s="43">
        <v>756548.3</v>
      </c>
      <c r="D23" s="37">
        <f t="shared" ref="D23:D28" si="3">E23-C23</f>
        <v>0</v>
      </c>
      <c r="E23" s="43">
        <v>756548.3</v>
      </c>
      <c r="F23" s="37">
        <v>0</v>
      </c>
      <c r="G23" s="37">
        <f>H23-F23-E23</f>
        <v>0</v>
      </c>
      <c r="H23" s="121">
        <v>756548.3</v>
      </c>
      <c r="I23" s="153"/>
      <c r="J23" s="44"/>
    </row>
    <row r="24" spans="1:10" ht="30" customHeight="1" x14ac:dyDescent="0.2">
      <c r="A24" s="142" t="s">
        <v>571</v>
      </c>
      <c r="B24" s="36">
        <v>2720</v>
      </c>
      <c r="C24" s="43">
        <v>770891.23</v>
      </c>
      <c r="D24" s="37">
        <f t="shared" si="3"/>
        <v>-770891.23</v>
      </c>
      <c r="E24" s="43">
        <v>0</v>
      </c>
      <c r="F24" s="37">
        <v>0</v>
      </c>
      <c r="G24" s="37">
        <f>H24-F24-E24</f>
        <v>0</v>
      </c>
      <c r="H24" s="122">
        <v>0</v>
      </c>
      <c r="I24" s="153"/>
      <c r="J24" s="44"/>
    </row>
    <row r="25" spans="1:10" ht="30" customHeight="1" x14ac:dyDescent="0.2">
      <c r="A25" s="142" t="s">
        <v>574</v>
      </c>
      <c r="B25" s="36">
        <v>2730</v>
      </c>
      <c r="C25" s="37">
        <v>8802173.8100000005</v>
      </c>
      <c r="D25" s="37">
        <f t="shared" si="3"/>
        <v>-344241.6799999997</v>
      </c>
      <c r="E25" s="37">
        <v>8457932.1300000008</v>
      </c>
      <c r="F25" s="37">
        <v>0</v>
      </c>
      <c r="G25" s="37">
        <f>H25-F25-E25</f>
        <v>0</v>
      </c>
      <c r="H25" s="118">
        <v>8457932.1300000008</v>
      </c>
      <c r="I25" s="153"/>
      <c r="J25" s="44"/>
    </row>
    <row r="26" spans="1:10" ht="30" customHeight="1" x14ac:dyDescent="0.2">
      <c r="A26" s="142" t="s">
        <v>572</v>
      </c>
      <c r="B26" s="36">
        <v>2740</v>
      </c>
      <c r="C26" s="37">
        <v>11334291.02</v>
      </c>
      <c r="D26" s="37">
        <f t="shared" si="3"/>
        <v>-11334291.02</v>
      </c>
      <c r="E26" s="37">
        <v>0</v>
      </c>
      <c r="F26" s="37">
        <v>0</v>
      </c>
      <c r="G26" s="37">
        <f>H26-F26-E26</f>
        <v>0</v>
      </c>
      <c r="H26" s="118">
        <v>0</v>
      </c>
      <c r="I26" s="153"/>
      <c r="J26" s="44"/>
    </row>
    <row r="27" spans="1:10" ht="30" customHeight="1" x14ac:dyDescent="0.2">
      <c r="A27" s="142" t="s">
        <v>573</v>
      </c>
      <c r="B27" s="36">
        <v>2750</v>
      </c>
      <c r="C27" s="37">
        <v>12813866.07</v>
      </c>
      <c r="D27" s="37">
        <f t="shared" si="3"/>
        <v>0</v>
      </c>
      <c r="E27" s="37">
        <v>12813866.07</v>
      </c>
      <c r="F27" s="37">
        <v>0</v>
      </c>
      <c r="G27" s="37">
        <f>H27-F27-E27</f>
        <v>0</v>
      </c>
      <c r="H27" s="123">
        <v>12813866.07</v>
      </c>
      <c r="I27" s="153"/>
      <c r="J27" s="44"/>
    </row>
    <row r="28" spans="1:10" ht="30" customHeight="1" thickBot="1" x14ac:dyDescent="0.25">
      <c r="A28" s="136" t="s">
        <v>552</v>
      </c>
      <c r="B28" s="124"/>
      <c r="C28" s="41">
        <f>SUM(C22:C27)</f>
        <v>337904157.43000001</v>
      </c>
      <c r="D28" s="41">
        <f t="shared" si="3"/>
        <v>6516255.4499999881</v>
      </c>
      <c r="E28" s="41">
        <f>SUM(E22:E27)</f>
        <v>344420412.88</v>
      </c>
      <c r="F28" s="41">
        <f>SUM(F22:F27)</f>
        <v>152883.82</v>
      </c>
      <c r="G28" s="41">
        <f>SUM(G22:G27)</f>
        <v>5.9371814131736755E-9</v>
      </c>
      <c r="H28" s="120">
        <f>SUM(H22:H27)</f>
        <v>344573296.70000005</v>
      </c>
      <c r="I28" s="153"/>
    </row>
    <row r="29" spans="1:10" ht="24.95" customHeight="1" x14ac:dyDescent="0.2">
      <c r="A29" s="45"/>
      <c r="B29" s="45"/>
      <c r="C29" s="43"/>
      <c r="D29" s="43"/>
      <c r="E29" s="43" t="s">
        <v>0</v>
      </c>
      <c r="F29" s="43" t="s">
        <v>0</v>
      </c>
      <c r="G29" s="43"/>
      <c r="H29" s="46" t="s">
        <v>0</v>
      </c>
    </row>
    <row r="30" spans="1:10" ht="24.95" customHeight="1" x14ac:dyDescent="0.2">
      <c r="A30" s="45"/>
      <c r="B30" s="45"/>
      <c r="C30" s="45"/>
      <c r="D30" s="43"/>
      <c r="E30" s="45"/>
      <c r="G30" s="43" t="s">
        <v>43</v>
      </c>
      <c r="H30" s="46">
        <f>+REVENUE!J125</f>
        <v>344573296.69999999</v>
      </c>
      <c r="I30" s="84"/>
    </row>
    <row r="31" spans="1:10" ht="24.95" customHeight="1" x14ac:dyDescent="0.2">
      <c r="A31" s="45"/>
      <c r="B31" s="45"/>
      <c r="C31" s="45"/>
      <c r="E31" s="45"/>
      <c r="F31" s="43" t="s">
        <v>0</v>
      </c>
      <c r="G31" s="45"/>
      <c r="H31" s="46">
        <f>+H30-H28</f>
        <v>0</v>
      </c>
    </row>
    <row r="32" spans="1:10" ht="24.95" customHeight="1" x14ac:dyDescent="0.2">
      <c r="D32" s="42"/>
      <c r="G32" s="42"/>
      <c r="I32" s="84"/>
    </row>
    <row r="33" spans="1:10" ht="24.95" customHeight="1" x14ac:dyDescent="0.2">
      <c r="D33" s="43">
        <f>SUM(D23:D27)</f>
        <v>-12449423.93</v>
      </c>
      <c r="G33" s="42"/>
      <c r="H33" s="50">
        <f>SUM(H23:H27)</f>
        <v>22028346.5</v>
      </c>
      <c r="I33" s="84"/>
    </row>
    <row r="34" spans="1:10" ht="24.95" customHeight="1" x14ac:dyDescent="0.2">
      <c r="A34" s="33" t="s">
        <v>471</v>
      </c>
      <c r="G34" s="42"/>
      <c r="J34" s="42"/>
    </row>
    <row r="35" spans="1:10" ht="24.95" customHeight="1" x14ac:dyDescent="0.2">
      <c r="J35" s="42"/>
    </row>
    <row r="36" spans="1:10" ht="24.95" customHeight="1" x14ac:dyDescent="0.2">
      <c r="D36" s="42"/>
      <c r="G36" s="42"/>
    </row>
    <row r="40" spans="1:10" ht="24.95" customHeight="1" x14ac:dyDescent="0.2">
      <c r="F40" s="42"/>
    </row>
    <row r="41" spans="1:10" ht="24.95" customHeight="1" x14ac:dyDescent="0.2">
      <c r="H41" s="33"/>
    </row>
    <row r="42" spans="1:10" ht="24.95" customHeight="1" x14ac:dyDescent="0.2">
      <c r="H42" s="33"/>
    </row>
    <row r="43" spans="1:10" ht="24.95" customHeight="1" x14ac:dyDescent="0.2">
      <c r="H43" s="33"/>
    </row>
    <row r="44" spans="1:10" ht="24.95" customHeight="1" x14ac:dyDescent="0.2">
      <c r="H44" s="33"/>
    </row>
    <row r="45" spans="1:10" ht="24.95" customHeight="1" x14ac:dyDescent="0.2">
      <c r="H45" s="33"/>
    </row>
    <row r="46" spans="1:10" ht="24.95" customHeight="1" x14ac:dyDescent="0.2">
      <c r="H46" s="33"/>
    </row>
    <row r="47" spans="1:10" ht="24.95" customHeight="1" x14ac:dyDescent="0.2">
      <c r="H47" s="33"/>
    </row>
    <row r="48" spans="1:10" ht="24.95" customHeight="1" x14ac:dyDescent="0.2">
      <c r="H48" s="33"/>
    </row>
    <row r="49" spans="8:8" ht="24.95" customHeight="1" x14ac:dyDescent="0.2">
      <c r="H49" s="33"/>
    </row>
    <row r="50" spans="8:8" ht="24.95" customHeight="1" x14ac:dyDescent="0.2">
      <c r="H50" s="33"/>
    </row>
    <row r="51" spans="8:8" ht="24.95" customHeight="1" x14ac:dyDescent="0.2">
      <c r="H51" s="33"/>
    </row>
    <row r="52" spans="8:8" ht="24.95" customHeight="1" x14ac:dyDescent="0.2">
      <c r="H52" s="33"/>
    </row>
    <row r="53" spans="8:8" ht="24.95" customHeight="1" x14ac:dyDescent="0.2">
      <c r="H53" s="33"/>
    </row>
    <row r="54" spans="8:8" ht="24.95" customHeight="1" x14ac:dyDescent="0.2">
      <c r="H54" s="33"/>
    </row>
    <row r="55" spans="8:8" ht="24.95" customHeight="1" x14ac:dyDescent="0.2">
      <c r="H55" s="33"/>
    </row>
    <row r="56" spans="8:8" ht="24.95" customHeight="1" x14ac:dyDescent="0.2">
      <c r="H56" s="33"/>
    </row>
    <row r="57" spans="8:8" ht="24.95" customHeight="1" x14ac:dyDescent="0.2">
      <c r="H57" s="33"/>
    </row>
    <row r="58" spans="8:8" ht="24.95" customHeight="1" x14ac:dyDescent="0.2">
      <c r="H58" s="33"/>
    </row>
    <row r="59" spans="8:8" ht="24.95" customHeight="1" x14ac:dyDescent="0.2">
      <c r="H59" s="33"/>
    </row>
    <row r="60" spans="8:8" ht="24.95" customHeight="1" x14ac:dyDescent="0.2">
      <c r="H60" s="33"/>
    </row>
    <row r="61" spans="8:8" ht="24.95" customHeight="1" x14ac:dyDescent="0.2">
      <c r="H61" s="33"/>
    </row>
    <row r="62" spans="8:8" ht="24.95" customHeight="1" x14ac:dyDescent="0.2">
      <c r="H62" s="33"/>
    </row>
    <row r="63" spans="8:8" ht="24.95" customHeight="1" x14ac:dyDescent="0.2">
      <c r="H63" s="33"/>
    </row>
    <row r="64" spans="8:8" ht="24.95" customHeight="1" x14ac:dyDescent="0.2">
      <c r="H64" s="33"/>
    </row>
    <row r="65" spans="8:8" ht="24.95" customHeight="1" x14ac:dyDescent="0.2">
      <c r="H65" s="33"/>
    </row>
    <row r="66" spans="8:8" ht="24.95" customHeight="1" x14ac:dyDescent="0.2">
      <c r="H66" s="33"/>
    </row>
    <row r="67" spans="8:8" ht="24.95" customHeight="1" x14ac:dyDescent="0.2">
      <c r="H67" s="33"/>
    </row>
    <row r="68" spans="8:8" ht="24.95" customHeight="1" x14ac:dyDescent="0.2">
      <c r="H68" s="33"/>
    </row>
    <row r="69" spans="8:8" ht="24.95" customHeight="1" x14ac:dyDescent="0.2">
      <c r="H69" s="33"/>
    </row>
  </sheetData>
  <sheetProtection selectLockedCells="1"/>
  <mergeCells count="3">
    <mergeCell ref="A1:H1"/>
    <mergeCell ref="A2:B2"/>
    <mergeCell ref="I22:I28"/>
  </mergeCells>
  <printOptions horizontalCentered="1"/>
  <pageMargins left="0.5" right="0.5" top="0.5" bottom="0.5" header="0.5" footer="0.25"/>
  <pageSetup scale="50" firstPageNumber="3" orientation="landscape" useFirstPageNumber="1" r:id="rId1"/>
  <headerFooter alignWithMargins="0">
    <oddFooter>&amp;L&amp;"Verdana,Regular"&amp;16&amp;A&amp;C&amp;"Verdana,Regular"&amp;16Page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pane xSplit="2" ySplit="1" topLeftCell="F2" activePane="bottomRight" state="frozen"/>
      <selection activeCell="J131" sqref="J131"/>
      <selection pane="topRight" activeCell="J131" sqref="J131"/>
      <selection pane="bottomLeft" activeCell="J131" sqref="J131"/>
      <selection pane="bottomRight" activeCell="F2" sqref="F2"/>
    </sheetView>
  </sheetViews>
  <sheetFormatPr defaultColWidth="9.140625" defaultRowHeight="24.95" customHeight="1" x14ac:dyDescent="0.2"/>
  <cols>
    <col min="1" max="1" width="56.42578125" style="33" customWidth="1"/>
    <col min="2" max="2" width="9" style="33" customWidth="1"/>
    <col min="3" max="3" width="27.7109375" style="33" hidden="1" customWidth="1"/>
    <col min="4" max="4" width="30" style="33" hidden="1" customWidth="1"/>
    <col min="5" max="5" width="27.7109375" style="33" hidden="1" customWidth="1"/>
    <col min="6" max="6" width="22.5703125" style="33" bestFit="1" customWidth="1"/>
    <col min="7" max="7" width="30" style="33" bestFit="1" customWidth="1"/>
    <col min="8" max="8" width="28.85546875" style="47" customWidth="1"/>
    <col min="9" max="9" width="200.7109375" style="140" customWidth="1"/>
    <col min="10" max="10" width="136.85546875" style="33" customWidth="1"/>
    <col min="11" max="16384" width="9.140625" style="33"/>
  </cols>
  <sheetData>
    <row r="1" spans="1:10" ht="30" customHeight="1" x14ac:dyDescent="0.2">
      <c r="A1" s="154" t="s">
        <v>586</v>
      </c>
      <c r="B1" s="155"/>
      <c r="C1" s="155"/>
      <c r="D1" s="155"/>
      <c r="E1" s="155"/>
      <c r="F1" s="155"/>
      <c r="G1" s="155"/>
      <c r="H1" s="155"/>
      <c r="I1" s="155"/>
    </row>
    <row r="2" spans="1:10" ht="66.75" customHeight="1" x14ac:dyDescent="0.2">
      <c r="A2" s="150" t="s">
        <v>44</v>
      </c>
      <c r="B2" s="151"/>
      <c r="C2" s="35" t="s">
        <v>542</v>
      </c>
      <c r="D2" s="35" t="s">
        <v>575</v>
      </c>
      <c r="E2" s="35" t="s">
        <v>576</v>
      </c>
      <c r="F2" s="35" t="s">
        <v>584</v>
      </c>
      <c r="G2" s="35" t="s">
        <v>585</v>
      </c>
      <c r="H2" s="116" t="s">
        <v>583</v>
      </c>
      <c r="I2" s="34" t="s">
        <v>42</v>
      </c>
    </row>
    <row r="3" spans="1:10" ht="60" x14ac:dyDescent="0.2">
      <c r="A3" s="142" t="s">
        <v>553</v>
      </c>
      <c r="B3" s="36">
        <v>5000</v>
      </c>
      <c r="C3" s="37">
        <v>188691271.93000001</v>
      </c>
      <c r="D3" s="37">
        <f t="shared" ref="D3:D21" si="0">E3-C3</f>
        <v>7324228.2299999893</v>
      </c>
      <c r="E3" s="38">
        <v>196015500.16</v>
      </c>
      <c r="F3" s="38">
        <f>'INCREASE(DECREASE)'!B212</f>
        <v>31784.340000000004</v>
      </c>
      <c r="G3" s="37">
        <f>H3-F3-E3</f>
        <v>-49318.289999991655</v>
      </c>
      <c r="H3" s="117">
        <v>195997966.21000001</v>
      </c>
      <c r="I3" s="115" t="s">
        <v>624</v>
      </c>
      <c r="J3" s="54"/>
    </row>
    <row r="4" spans="1:10" ht="39.950000000000003" customHeight="1" x14ac:dyDescent="0.2">
      <c r="A4" s="142" t="s">
        <v>554</v>
      </c>
      <c r="B4" s="36">
        <v>6100</v>
      </c>
      <c r="C4" s="38">
        <v>18069058</v>
      </c>
      <c r="D4" s="37">
        <f>E4-C4</f>
        <v>409767.92000000179</v>
      </c>
      <c r="E4" s="38">
        <v>18478825.920000002</v>
      </c>
      <c r="F4" s="38">
        <f>'INCREASE(DECREASE)'!C212</f>
        <v>0</v>
      </c>
      <c r="G4" s="37">
        <f t="shared" ref="G4:G21" si="1">H4-F4-E4</f>
        <v>23.759999997913837</v>
      </c>
      <c r="H4" s="117">
        <v>18478849.68</v>
      </c>
      <c r="I4" s="115" t="s">
        <v>616</v>
      </c>
    </row>
    <row r="5" spans="1:10" ht="39.950000000000003" customHeight="1" x14ac:dyDescent="0.2">
      <c r="A5" s="142" t="s">
        <v>555</v>
      </c>
      <c r="B5" s="36">
        <v>6200</v>
      </c>
      <c r="C5" s="38">
        <v>4894417</v>
      </c>
      <c r="D5" s="37">
        <f t="shared" si="0"/>
        <v>18812.780000000261</v>
      </c>
      <c r="E5" s="37">
        <v>4913229.78</v>
      </c>
      <c r="F5" s="38">
        <f>'INCREASE(DECREASE)'!D212</f>
        <v>1300</v>
      </c>
      <c r="G5" s="37">
        <f t="shared" si="1"/>
        <v>27287.109999999404</v>
      </c>
      <c r="H5" s="118">
        <v>4941816.8899999997</v>
      </c>
      <c r="I5" s="115" t="s">
        <v>617</v>
      </c>
    </row>
    <row r="6" spans="1:10" ht="39.950000000000003" customHeight="1" x14ac:dyDescent="0.2">
      <c r="A6" s="142" t="s">
        <v>556</v>
      </c>
      <c r="B6" s="36">
        <v>6300</v>
      </c>
      <c r="C6" s="37">
        <v>4434092</v>
      </c>
      <c r="D6" s="37">
        <f t="shared" si="0"/>
        <v>199130.94000000041</v>
      </c>
      <c r="E6" s="37">
        <v>4633222.9400000004</v>
      </c>
      <c r="F6" s="38">
        <f>'INCREASE(DECREASE)'!E212</f>
        <v>0</v>
      </c>
      <c r="G6" s="37">
        <f t="shared" si="1"/>
        <v>84456.029999999329</v>
      </c>
      <c r="H6" s="118">
        <v>4717678.97</v>
      </c>
      <c r="I6" s="115" t="s">
        <v>618</v>
      </c>
    </row>
    <row r="7" spans="1:10" ht="39.75" customHeight="1" x14ac:dyDescent="0.2">
      <c r="A7" s="142" t="s">
        <v>557</v>
      </c>
      <c r="B7" s="36">
        <v>6400</v>
      </c>
      <c r="C7" s="37">
        <v>439493</v>
      </c>
      <c r="D7" s="37">
        <f t="shared" si="0"/>
        <v>230496.81000000006</v>
      </c>
      <c r="E7" s="37">
        <v>669989.81000000006</v>
      </c>
      <c r="F7" s="38">
        <f>'INCREASE(DECREASE)'!F212</f>
        <v>848.63</v>
      </c>
      <c r="G7" s="37">
        <f t="shared" si="1"/>
        <v>62331.099999999977</v>
      </c>
      <c r="H7" s="118">
        <v>733169.54</v>
      </c>
      <c r="I7" s="115" t="s">
        <v>620</v>
      </c>
    </row>
    <row r="8" spans="1:10" ht="39.950000000000003" customHeight="1" x14ac:dyDescent="0.2">
      <c r="A8" s="142" t="s">
        <v>558</v>
      </c>
      <c r="B8" s="36">
        <v>6500</v>
      </c>
      <c r="C8" s="37">
        <v>8899863</v>
      </c>
      <c r="D8" s="37">
        <f t="shared" si="0"/>
        <v>162041.26999999955</v>
      </c>
      <c r="E8" s="37">
        <v>9061904.2699999996</v>
      </c>
      <c r="F8" s="38">
        <f>'INCREASE(DECREASE)'!G212</f>
        <v>4070</v>
      </c>
      <c r="G8" s="37">
        <f t="shared" si="1"/>
        <v>0</v>
      </c>
      <c r="H8" s="118">
        <v>9065974.2699999996</v>
      </c>
      <c r="I8" s="115" t="s">
        <v>621</v>
      </c>
    </row>
    <row r="9" spans="1:10" ht="39.950000000000003" customHeight="1" x14ac:dyDescent="0.2">
      <c r="A9" s="142" t="s">
        <v>559</v>
      </c>
      <c r="B9" s="36">
        <v>7100</v>
      </c>
      <c r="C9" s="37">
        <v>1101950</v>
      </c>
      <c r="D9" s="37">
        <f t="shared" si="0"/>
        <v>1897.1599999999162</v>
      </c>
      <c r="E9" s="37">
        <v>1103847.1599999999</v>
      </c>
      <c r="F9" s="38">
        <f>'INCREASE(DECREASE)'!H212</f>
        <v>0</v>
      </c>
      <c r="G9" s="37">
        <f t="shared" si="1"/>
        <v>0</v>
      </c>
      <c r="H9" s="118">
        <v>1103847.1599999999</v>
      </c>
      <c r="I9" s="115"/>
    </row>
    <row r="10" spans="1:10" ht="39.950000000000003" customHeight="1" x14ac:dyDescent="0.2">
      <c r="A10" s="142" t="s">
        <v>560</v>
      </c>
      <c r="B10" s="36">
        <v>7200</v>
      </c>
      <c r="C10" s="37">
        <v>330145</v>
      </c>
      <c r="D10" s="37">
        <f t="shared" si="0"/>
        <v>0</v>
      </c>
      <c r="E10" s="37">
        <v>330145</v>
      </c>
      <c r="F10" s="38">
        <f>'INCREASE(DECREASE)'!I212</f>
        <v>0</v>
      </c>
      <c r="G10" s="37">
        <f t="shared" si="1"/>
        <v>0</v>
      </c>
      <c r="H10" s="118">
        <v>330145</v>
      </c>
      <c r="I10" s="115"/>
    </row>
    <row r="11" spans="1:10" ht="39.950000000000003" customHeight="1" x14ac:dyDescent="0.2">
      <c r="A11" s="142" t="s">
        <v>561</v>
      </c>
      <c r="B11" s="36">
        <v>7300</v>
      </c>
      <c r="C11" s="37">
        <v>18339623.07</v>
      </c>
      <c r="D11" s="37">
        <f t="shared" si="0"/>
        <v>579477.78999999911</v>
      </c>
      <c r="E11" s="37">
        <v>18919100.859999999</v>
      </c>
      <c r="F11" s="38">
        <f>'INCREASE(DECREASE)'!J212</f>
        <v>42079.93</v>
      </c>
      <c r="G11" s="37">
        <f t="shared" si="1"/>
        <v>-27927.289999999106</v>
      </c>
      <c r="H11" s="118">
        <v>18933253.5</v>
      </c>
      <c r="I11" s="115" t="s">
        <v>622</v>
      </c>
    </row>
    <row r="12" spans="1:10" ht="39.950000000000003" customHeight="1" x14ac:dyDescent="0.2">
      <c r="A12" s="142" t="s">
        <v>562</v>
      </c>
      <c r="B12" s="36">
        <v>7400</v>
      </c>
      <c r="C12" s="37">
        <v>4973766</v>
      </c>
      <c r="D12" s="37">
        <f t="shared" si="0"/>
        <v>1276821.2800000003</v>
      </c>
      <c r="E12" s="37">
        <v>6250587.2800000003</v>
      </c>
      <c r="F12" s="38">
        <f>'INCREASE(DECREASE)'!K212</f>
        <v>3150</v>
      </c>
      <c r="G12" s="37">
        <f t="shared" si="1"/>
        <v>24864.799999999814</v>
      </c>
      <c r="H12" s="118">
        <v>6278602.0800000001</v>
      </c>
      <c r="I12" s="115" t="s">
        <v>625</v>
      </c>
    </row>
    <row r="13" spans="1:10" ht="39.950000000000003" customHeight="1" x14ac:dyDescent="0.2">
      <c r="A13" s="142" t="s">
        <v>563</v>
      </c>
      <c r="B13" s="36">
        <v>7500</v>
      </c>
      <c r="C13" s="37">
        <v>2126533</v>
      </c>
      <c r="D13" s="37">
        <f t="shared" si="0"/>
        <v>0</v>
      </c>
      <c r="E13" s="37">
        <v>2126533</v>
      </c>
      <c r="F13" s="38">
        <f>'INCREASE(DECREASE)'!L212</f>
        <v>0</v>
      </c>
      <c r="G13" s="37">
        <f t="shared" si="1"/>
        <v>0</v>
      </c>
      <c r="H13" s="118">
        <v>2126533</v>
      </c>
      <c r="I13" s="115"/>
    </row>
    <row r="14" spans="1:10" ht="39.950000000000003" customHeight="1" x14ac:dyDescent="0.2">
      <c r="A14" s="142" t="s">
        <v>564</v>
      </c>
      <c r="B14" s="36">
        <v>7700</v>
      </c>
      <c r="C14" s="37">
        <v>3721158</v>
      </c>
      <c r="D14" s="37">
        <f t="shared" si="0"/>
        <v>10321.520000000019</v>
      </c>
      <c r="E14" s="37">
        <v>3731479.52</v>
      </c>
      <c r="F14" s="38">
        <f>'INCREASE(DECREASE)'!M212</f>
        <v>0</v>
      </c>
      <c r="G14" s="37">
        <f t="shared" si="1"/>
        <v>0</v>
      </c>
      <c r="H14" s="118">
        <v>3731479.52</v>
      </c>
      <c r="I14" s="115"/>
    </row>
    <row r="15" spans="1:10" ht="39.950000000000003" customHeight="1" x14ac:dyDescent="0.2">
      <c r="A15" s="142" t="s">
        <v>565</v>
      </c>
      <c r="B15" s="36">
        <v>7800</v>
      </c>
      <c r="C15" s="37">
        <v>14486187</v>
      </c>
      <c r="D15" s="37">
        <f t="shared" si="0"/>
        <v>152601.77999999933</v>
      </c>
      <c r="E15" s="37">
        <v>14638788.779999999</v>
      </c>
      <c r="F15" s="38">
        <f>'INCREASE(DECREASE)'!N212</f>
        <v>0</v>
      </c>
      <c r="G15" s="37">
        <f t="shared" si="1"/>
        <v>3499.6500000003725</v>
      </c>
      <c r="H15" s="118">
        <v>14642288.43</v>
      </c>
      <c r="I15" s="115" t="s">
        <v>623</v>
      </c>
    </row>
    <row r="16" spans="1:10" ht="39.950000000000003" customHeight="1" x14ac:dyDescent="0.2">
      <c r="A16" s="142" t="s">
        <v>566</v>
      </c>
      <c r="B16" s="36">
        <v>7900</v>
      </c>
      <c r="C16" s="37">
        <v>23516333.690000001</v>
      </c>
      <c r="D16" s="37">
        <f t="shared" si="0"/>
        <v>736646.26999999955</v>
      </c>
      <c r="E16" s="37">
        <v>24252979.960000001</v>
      </c>
      <c r="F16" s="38">
        <f>'INCREASE(DECREASE)'!O212</f>
        <v>56172.88</v>
      </c>
      <c r="G16" s="37">
        <f t="shared" si="1"/>
        <v>-3162.429999999702</v>
      </c>
      <c r="H16" s="118">
        <v>24305990.41</v>
      </c>
      <c r="I16" s="115" t="s">
        <v>627</v>
      </c>
    </row>
    <row r="17" spans="1:10" ht="39.950000000000003" customHeight="1" x14ac:dyDescent="0.2">
      <c r="A17" s="142" t="s">
        <v>567</v>
      </c>
      <c r="B17" s="36">
        <v>8100</v>
      </c>
      <c r="C17" s="37">
        <v>8491675.3100000005</v>
      </c>
      <c r="D17" s="37">
        <f t="shared" si="0"/>
        <v>264374.84999999963</v>
      </c>
      <c r="E17" s="37">
        <v>8756050.1600000001</v>
      </c>
      <c r="F17" s="38">
        <f>'INCREASE(DECREASE)'!P212</f>
        <v>1316</v>
      </c>
      <c r="G17" s="37">
        <f t="shared" si="1"/>
        <v>-9617.8300000000745</v>
      </c>
      <c r="H17" s="118">
        <v>8747748.3300000001</v>
      </c>
      <c r="I17" s="115" t="s">
        <v>628</v>
      </c>
    </row>
    <row r="18" spans="1:10" ht="39.950000000000003" customHeight="1" x14ac:dyDescent="0.2">
      <c r="A18" s="142" t="s">
        <v>568</v>
      </c>
      <c r="B18" s="36">
        <v>8200</v>
      </c>
      <c r="C18" s="37">
        <v>708313</v>
      </c>
      <c r="D18" s="37">
        <f t="shared" si="0"/>
        <v>21587.790000000037</v>
      </c>
      <c r="E18" s="37">
        <v>729900.79</v>
      </c>
      <c r="F18" s="38">
        <f>'INCREASE(DECREASE)'!Q212</f>
        <v>0</v>
      </c>
      <c r="G18" s="37">
        <f t="shared" si="1"/>
        <v>0</v>
      </c>
      <c r="H18" s="118">
        <v>729900.79</v>
      </c>
      <c r="I18" s="115"/>
    </row>
    <row r="19" spans="1:10" ht="39.950000000000003" customHeight="1" x14ac:dyDescent="0.2">
      <c r="A19" s="142" t="s">
        <v>569</v>
      </c>
      <c r="B19" s="36">
        <v>9100</v>
      </c>
      <c r="C19" s="37">
        <v>202508</v>
      </c>
      <c r="D19" s="37">
        <f t="shared" si="0"/>
        <v>7577472.9900000002</v>
      </c>
      <c r="E19" s="37">
        <v>7779980.9900000002</v>
      </c>
      <c r="F19" s="38">
        <f>'INCREASE(DECREASE)'!R212</f>
        <v>12162.04</v>
      </c>
      <c r="G19" s="37">
        <f t="shared" si="1"/>
        <v>-112436.61000000034</v>
      </c>
      <c r="H19" s="118">
        <v>7679706.4199999999</v>
      </c>
      <c r="I19" s="115" t="s">
        <v>626</v>
      </c>
    </row>
    <row r="20" spans="1:10" ht="42.75" hidden="1" customHeight="1" x14ac:dyDescent="0.2">
      <c r="A20" s="143" t="s">
        <v>24</v>
      </c>
      <c r="B20" s="36">
        <v>9200</v>
      </c>
      <c r="C20" s="37">
        <v>0</v>
      </c>
      <c r="D20" s="37">
        <f t="shared" si="0"/>
        <v>0</v>
      </c>
      <c r="E20" s="37">
        <v>0</v>
      </c>
      <c r="F20" s="37">
        <v>0</v>
      </c>
      <c r="G20" s="37">
        <f t="shared" si="1"/>
        <v>0</v>
      </c>
      <c r="H20" s="118">
        <v>0</v>
      </c>
    </row>
    <row r="21" spans="1:10" ht="35.25" hidden="1" customHeight="1" x14ac:dyDescent="0.2">
      <c r="A21" s="143" t="s">
        <v>304</v>
      </c>
      <c r="B21" s="36">
        <v>9700</v>
      </c>
      <c r="C21" s="37">
        <v>0</v>
      </c>
      <c r="D21" s="37">
        <f t="shared" si="0"/>
        <v>0</v>
      </c>
      <c r="E21" s="37">
        <v>0</v>
      </c>
      <c r="F21" s="39">
        <v>0</v>
      </c>
      <c r="G21" s="37">
        <f t="shared" si="1"/>
        <v>0</v>
      </c>
      <c r="H21" s="118">
        <v>0</v>
      </c>
    </row>
    <row r="22" spans="1:10" ht="30" customHeight="1" thickBot="1" x14ac:dyDescent="0.25">
      <c r="A22" s="119" t="s">
        <v>551</v>
      </c>
      <c r="B22" s="40"/>
      <c r="C22" s="41">
        <f t="shared" ref="C22:H22" si="2">SUM(C3:C21)</f>
        <v>303426387</v>
      </c>
      <c r="D22" s="41">
        <f t="shared" si="2"/>
        <v>18965679.379999988</v>
      </c>
      <c r="E22" s="41">
        <f t="shared" si="2"/>
        <v>322392066.38</v>
      </c>
      <c r="F22" s="41">
        <f t="shared" si="2"/>
        <v>152883.82</v>
      </c>
      <c r="G22" s="41">
        <f t="shared" si="2"/>
        <v>5.9371814131736755E-9</v>
      </c>
      <c r="H22" s="120">
        <f t="shared" si="2"/>
        <v>322544950.20000005</v>
      </c>
      <c r="I22" s="152"/>
      <c r="J22" s="42"/>
    </row>
    <row r="23" spans="1:10" ht="30" customHeight="1" thickTop="1" x14ac:dyDescent="0.2">
      <c r="A23" s="142" t="s">
        <v>570</v>
      </c>
      <c r="B23" s="36">
        <v>2710</v>
      </c>
      <c r="C23" s="43">
        <v>756548.3</v>
      </c>
      <c r="D23" s="37">
        <f t="shared" ref="D23:D28" si="3">E23-C23</f>
        <v>0</v>
      </c>
      <c r="E23" s="43">
        <v>756548.3</v>
      </c>
      <c r="F23" s="37">
        <v>0</v>
      </c>
      <c r="G23" s="37">
        <f>H23-F23-E23</f>
        <v>0</v>
      </c>
      <c r="H23" s="121">
        <v>756548.3</v>
      </c>
      <c r="I23" s="153"/>
      <c r="J23" s="44"/>
    </row>
    <row r="24" spans="1:10" ht="30" customHeight="1" x14ac:dyDescent="0.2">
      <c r="A24" s="142" t="s">
        <v>571</v>
      </c>
      <c r="B24" s="36">
        <v>2720</v>
      </c>
      <c r="C24" s="43">
        <v>770891.23</v>
      </c>
      <c r="D24" s="37">
        <f t="shared" si="3"/>
        <v>-770891.23</v>
      </c>
      <c r="E24" s="43">
        <v>0</v>
      </c>
      <c r="F24" s="37">
        <v>0</v>
      </c>
      <c r="G24" s="37">
        <f>H24-F24-E24</f>
        <v>0</v>
      </c>
      <c r="H24" s="122">
        <v>0</v>
      </c>
      <c r="I24" s="153"/>
      <c r="J24" s="44"/>
    </row>
    <row r="25" spans="1:10" ht="30" customHeight="1" x14ac:dyDescent="0.2">
      <c r="A25" s="142" t="s">
        <v>574</v>
      </c>
      <c r="B25" s="36">
        <v>2730</v>
      </c>
      <c r="C25" s="37">
        <v>8802173.8100000005</v>
      </c>
      <c r="D25" s="37">
        <f t="shared" si="3"/>
        <v>-344241.6799999997</v>
      </c>
      <c r="E25" s="37">
        <v>8457932.1300000008</v>
      </c>
      <c r="F25" s="37">
        <v>0</v>
      </c>
      <c r="G25" s="37">
        <f>H25-F25-E25</f>
        <v>0</v>
      </c>
      <c r="H25" s="118">
        <v>8457932.1300000008</v>
      </c>
      <c r="I25" s="153"/>
      <c r="J25" s="44"/>
    </row>
    <row r="26" spans="1:10" ht="30" customHeight="1" x14ac:dyDescent="0.2">
      <c r="A26" s="142" t="s">
        <v>572</v>
      </c>
      <c r="B26" s="36">
        <v>2740</v>
      </c>
      <c r="C26" s="37">
        <v>11334291.02</v>
      </c>
      <c r="D26" s="37">
        <f t="shared" si="3"/>
        <v>-11334291.02</v>
      </c>
      <c r="E26" s="37">
        <v>0</v>
      </c>
      <c r="F26" s="37">
        <v>0</v>
      </c>
      <c r="G26" s="37">
        <f>H26-F26-E26</f>
        <v>0</v>
      </c>
      <c r="H26" s="118">
        <v>0</v>
      </c>
      <c r="I26" s="153"/>
      <c r="J26" s="44"/>
    </row>
    <row r="27" spans="1:10" ht="30" customHeight="1" x14ac:dyDescent="0.2">
      <c r="A27" s="142" t="s">
        <v>573</v>
      </c>
      <c r="B27" s="36">
        <v>2750</v>
      </c>
      <c r="C27" s="37">
        <v>12813866.07</v>
      </c>
      <c r="D27" s="37">
        <f t="shared" si="3"/>
        <v>0</v>
      </c>
      <c r="E27" s="37">
        <v>12813866.07</v>
      </c>
      <c r="F27" s="37">
        <v>0</v>
      </c>
      <c r="G27" s="37">
        <f>H27-F27-E27</f>
        <v>0</v>
      </c>
      <c r="H27" s="123">
        <v>12813866.07</v>
      </c>
      <c r="I27" s="153"/>
      <c r="J27" s="44"/>
    </row>
    <row r="28" spans="1:10" ht="30" customHeight="1" thickBot="1" x14ac:dyDescent="0.25">
      <c r="A28" s="136" t="s">
        <v>552</v>
      </c>
      <c r="B28" s="124"/>
      <c r="C28" s="41">
        <f>SUM(C22:C27)</f>
        <v>337904157.43000001</v>
      </c>
      <c r="D28" s="41">
        <f t="shared" si="3"/>
        <v>6516255.4499999881</v>
      </c>
      <c r="E28" s="41">
        <f>SUM(E22:E27)</f>
        <v>344420412.88</v>
      </c>
      <c r="F28" s="41">
        <f>SUM(F22:F27)</f>
        <v>152883.82</v>
      </c>
      <c r="G28" s="41">
        <f>SUM(G22:G27)</f>
        <v>5.9371814131736755E-9</v>
      </c>
      <c r="H28" s="120">
        <f>SUM(H22:H27)</f>
        <v>344573296.70000005</v>
      </c>
      <c r="I28" s="153"/>
    </row>
    <row r="29" spans="1:10" ht="24.95" customHeight="1" x14ac:dyDescent="0.2">
      <c r="A29" s="45"/>
      <c r="B29" s="45"/>
      <c r="C29" s="43"/>
      <c r="D29" s="43"/>
      <c r="E29" s="43" t="s">
        <v>0</v>
      </c>
      <c r="F29" s="43" t="s">
        <v>0</v>
      </c>
      <c r="G29" s="43"/>
      <c r="H29" s="46" t="s">
        <v>0</v>
      </c>
    </row>
    <row r="30" spans="1:10" ht="24.95" customHeight="1" x14ac:dyDescent="0.2">
      <c r="A30" s="45"/>
      <c r="B30" s="45"/>
      <c r="C30" s="45"/>
      <c r="D30" s="43"/>
      <c r="E30" s="45"/>
      <c r="G30" s="43" t="s">
        <v>43</v>
      </c>
      <c r="H30" s="46">
        <f>+REVENUE!J125</f>
        <v>344573296.69999999</v>
      </c>
      <c r="I30" s="84"/>
    </row>
    <row r="31" spans="1:10" ht="24.95" customHeight="1" x14ac:dyDescent="0.2">
      <c r="A31" s="45"/>
      <c r="B31" s="45"/>
      <c r="C31" s="45"/>
      <c r="E31" s="45"/>
      <c r="F31" s="43" t="s">
        <v>0</v>
      </c>
      <c r="G31" s="45"/>
      <c r="H31" s="46">
        <f>+H30-H28</f>
        <v>0</v>
      </c>
    </row>
    <row r="32" spans="1:10" ht="24.95" customHeight="1" x14ac:dyDescent="0.2">
      <c r="D32" s="42"/>
      <c r="G32" s="42"/>
      <c r="I32" s="84"/>
    </row>
    <row r="33" spans="1:10" ht="24.95" customHeight="1" x14ac:dyDescent="0.2">
      <c r="D33" s="43">
        <f>SUM(D23:D27)</f>
        <v>-12449423.93</v>
      </c>
      <c r="G33" s="42"/>
      <c r="H33" s="50">
        <f>SUM(H23:H27)</f>
        <v>22028346.5</v>
      </c>
      <c r="I33" s="84"/>
    </row>
    <row r="34" spans="1:10" ht="24.95" customHeight="1" x14ac:dyDescent="0.2">
      <c r="A34" s="33" t="s">
        <v>471</v>
      </c>
      <c r="G34" s="42"/>
      <c r="J34" s="42"/>
    </row>
    <row r="35" spans="1:10" ht="24.95" customHeight="1" x14ac:dyDescent="0.2">
      <c r="J35" s="42"/>
    </row>
    <row r="36" spans="1:10" ht="24.95" customHeight="1" x14ac:dyDescent="0.2">
      <c r="D36" s="42"/>
      <c r="G36" s="42"/>
    </row>
    <row r="40" spans="1:10" ht="24.95" customHeight="1" x14ac:dyDescent="0.2">
      <c r="F40" s="42"/>
    </row>
    <row r="41" spans="1:10" ht="24.95" customHeight="1" x14ac:dyDescent="0.2">
      <c r="H41" s="33"/>
    </row>
    <row r="42" spans="1:10" ht="24.95" customHeight="1" x14ac:dyDescent="0.2">
      <c r="H42" s="33"/>
    </row>
    <row r="43" spans="1:10" ht="24.95" customHeight="1" x14ac:dyDescent="0.2">
      <c r="H43" s="33"/>
    </row>
    <row r="44" spans="1:10" ht="24.95" customHeight="1" x14ac:dyDescent="0.2">
      <c r="H44" s="33"/>
    </row>
    <row r="45" spans="1:10" ht="24.95" customHeight="1" x14ac:dyDescent="0.2">
      <c r="H45" s="33"/>
    </row>
    <row r="46" spans="1:10" ht="24.95" customHeight="1" x14ac:dyDescent="0.2">
      <c r="H46" s="33"/>
    </row>
    <row r="47" spans="1:10" ht="24.95" customHeight="1" x14ac:dyDescent="0.2">
      <c r="H47" s="33"/>
    </row>
    <row r="48" spans="1:10" ht="24.95" customHeight="1" x14ac:dyDescent="0.2">
      <c r="H48" s="33"/>
    </row>
    <row r="49" spans="8:8" ht="24.95" customHeight="1" x14ac:dyDescent="0.2">
      <c r="H49" s="33"/>
    </row>
    <row r="50" spans="8:8" ht="24.95" customHeight="1" x14ac:dyDescent="0.2">
      <c r="H50" s="33"/>
    </row>
    <row r="51" spans="8:8" ht="24.95" customHeight="1" x14ac:dyDescent="0.2">
      <c r="H51" s="33"/>
    </row>
    <row r="52" spans="8:8" ht="24.95" customHeight="1" x14ac:dyDescent="0.2">
      <c r="H52" s="33"/>
    </row>
    <row r="53" spans="8:8" ht="24.95" customHeight="1" x14ac:dyDescent="0.2">
      <c r="H53" s="33"/>
    </row>
    <row r="54" spans="8:8" ht="24.95" customHeight="1" x14ac:dyDescent="0.2">
      <c r="H54" s="33"/>
    </row>
    <row r="55" spans="8:8" ht="24.95" customHeight="1" x14ac:dyDescent="0.2">
      <c r="H55" s="33"/>
    </row>
    <row r="56" spans="8:8" ht="24.95" customHeight="1" x14ac:dyDescent="0.2">
      <c r="H56" s="33"/>
    </row>
    <row r="57" spans="8:8" ht="24.95" customHeight="1" x14ac:dyDescent="0.2">
      <c r="H57" s="33"/>
    </row>
    <row r="58" spans="8:8" ht="24.95" customHeight="1" x14ac:dyDescent="0.2">
      <c r="H58" s="33"/>
    </row>
    <row r="59" spans="8:8" ht="24.95" customHeight="1" x14ac:dyDescent="0.2">
      <c r="H59" s="33"/>
    </row>
    <row r="60" spans="8:8" ht="24.95" customHeight="1" x14ac:dyDescent="0.2">
      <c r="H60" s="33"/>
    </row>
    <row r="61" spans="8:8" ht="24.95" customHeight="1" x14ac:dyDescent="0.2">
      <c r="H61" s="33"/>
    </row>
    <row r="62" spans="8:8" ht="24.95" customHeight="1" x14ac:dyDescent="0.2">
      <c r="H62" s="33"/>
    </row>
    <row r="63" spans="8:8" ht="24.95" customHeight="1" x14ac:dyDescent="0.2">
      <c r="H63" s="33"/>
    </row>
    <row r="64" spans="8:8" ht="24.95" customHeight="1" x14ac:dyDescent="0.2">
      <c r="H64" s="33"/>
    </row>
    <row r="65" spans="8:8" ht="24.95" customHeight="1" x14ac:dyDescent="0.2">
      <c r="H65" s="33"/>
    </row>
    <row r="66" spans="8:8" ht="24.95" customHeight="1" x14ac:dyDescent="0.2">
      <c r="H66" s="33"/>
    </row>
    <row r="67" spans="8:8" ht="24.95" customHeight="1" x14ac:dyDescent="0.2">
      <c r="H67" s="33"/>
    </row>
    <row r="68" spans="8:8" ht="24.95" customHeight="1" x14ac:dyDescent="0.2">
      <c r="H68" s="33"/>
    </row>
    <row r="69" spans="8:8" ht="24.95" customHeight="1" x14ac:dyDescent="0.2">
      <c r="H69" s="33"/>
    </row>
  </sheetData>
  <sheetProtection selectLockedCells="1"/>
  <mergeCells count="3">
    <mergeCell ref="A2:B2"/>
    <mergeCell ref="I22:I28"/>
    <mergeCell ref="A1:I1"/>
  </mergeCells>
  <printOptions horizontalCentered="1"/>
  <pageMargins left="0.5" right="0.5" top="0.5" bottom="0.5" header="0.5" footer="0.25"/>
  <pageSetup paperSize="5" scale="48" firstPageNumber="3" orientation="landscape" useFirstPageNumber="1" r:id="rId1"/>
  <headerFooter alignWithMargins="0">
    <oddFooter>&amp;L&amp;"Verdana,Regular"&amp;16&amp;A&amp;C&amp;"Verdana,Regular"&amp;16Page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9"/>
  <sheetViews>
    <sheetView zoomScaleNormal="100" zoomScaleSheetLayoutView="90" workbookViewId="0"/>
  </sheetViews>
  <sheetFormatPr defaultColWidth="9.140625" defaultRowHeight="30" customHeight="1" x14ac:dyDescent="0.2"/>
  <cols>
    <col min="1" max="1" width="81.28515625" style="88" bestFit="1" customWidth="1"/>
    <col min="2" max="2" width="21" style="103" bestFit="1" customWidth="1"/>
    <col min="3" max="3" width="55" style="100" customWidth="1"/>
    <col min="4" max="4" width="9.7109375" style="88" bestFit="1" customWidth="1"/>
    <col min="5" max="5" width="9.140625" style="88"/>
    <col min="6" max="6" width="0" style="88" hidden="1" customWidth="1"/>
    <col min="7" max="16384" width="9.140625" style="88"/>
  </cols>
  <sheetData>
    <row r="1" spans="1:3" ht="30" customHeight="1" x14ac:dyDescent="0.2">
      <c r="A1" s="85" t="s">
        <v>0</v>
      </c>
      <c r="B1" s="86" t="s">
        <v>194</v>
      </c>
      <c r="C1" s="87" t="s">
        <v>25</v>
      </c>
    </row>
    <row r="2" spans="1:3" ht="30" hidden="1" customHeight="1" x14ac:dyDescent="0.2">
      <c r="A2" s="89" t="s">
        <v>2</v>
      </c>
      <c r="B2" s="90"/>
      <c r="C2" s="91"/>
    </row>
    <row r="3" spans="1:3" ht="30" hidden="1" customHeight="1" x14ac:dyDescent="0.2">
      <c r="A3" s="92" t="s">
        <v>114</v>
      </c>
      <c r="B3" s="90"/>
      <c r="C3" s="91"/>
    </row>
    <row r="4" spans="1:3" ht="30" hidden="1" customHeight="1" x14ac:dyDescent="0.2">
      <c r="A4" s="92" t="s">
        <v>330</v>
      </c>
      <c r="B4" s="90"/>
      <c r="C4" s="91"/>
    </row>
    <row r="5" spans="1:3" ht="30" hidden="1" customHeight="1" x14ac:dyDescent="0.2">
      <c r="A5" s="92" t="s">
        <v>115</v>
      </c>
      <c r="B5" s="90"/>
      <c r="C5" s="91"/>
    </row>
    <row r="6" spans="1:3" ht="30" hidden="1" customHeight="1" x14ac:dyDescent="0.2">
      <c r="A6" s="89" t="s">
        <v>26</v>
      </c>
      <c r="B6" s="93">
        <f>SUBTOTAL(9,B2:B5)</f>
        <v>0</v>
      </c>
      <c r="C6" s="91"/>
    </row>
    <row r="7" spans="1:3" ht="30" hidden="1" customHeight="1" x14ac:dyDescent="0.2">
      <c r="A7" s="89"/>
      <c r="B7" s="93"/>
      <c r="C7" s="91"/>
    </row>
    <row r="8" spans="1:3" ht="30" hidden="1" customHeight="1" x14ac:dyDescent="0.2">
      <c r="A8" s="89" t="s">
        <v>206</v>
      </c>
      <c r="B8" s="93">
        <v>0</v>
      </c>
      <c r="C8" s="91" t="s">
        <v>420</v>
      </c>
    </row>
    <row r="9" spans="1:3" ht="30" hidden="1" customHeight="1" x14ac:dyDescent="0.2">
      <c r="A9" s="92"/>
      <c r="B9" s="90"/>
      <c r="C9" s="91"/>
    </row>
    <row r="10" spans="1:3" ht="30" customHeight="1" x14ac:dyDescent="0.2">
      <c r="A10" s="89" t="s">
        <v>3</v>
      </c>
      <c r="B10" s="90"/>
      <c r="C10" s="91"/>
    </row>
    <row r="11" spans="1:3" ht="30" customHeight="1" x14ac:dyDescent="0.2">
      <c r="A11" s="89"/>
      <c r="B11" s="90"/>
      <c r="C11" s="91"/>
    </row>
    <row r="12" spans="1:3" ht="30" hidden="1" customHeight="1" x14ac:dyDescent="0.2">
      <c r="A12" s="92" t="s">
        <v>166</v>
      </c>
      <c r="B12" s="90"/>
      <c r="C12" s="91"/>
    </row>
    <row r="13" spans="1:3" ht="30" hidden="1" customHeight="1" x14ac:dyDescent="0.2">
      <c r="A13" s="92" t="s">
        <v>103</v>
      </c>
      <c r="B13" s="90"/>
      <c r="C13" s="91"/>
    </row>
    <row r="14" spans="1:3" ht="30" hidden="1" customHeight="1" x14ac:dyDescent="0.2">
      <c r="A14" s="92" t="s">
        <v>217</v>
      </c>
      <c r="B14" s="90"/>
      <c r="C14" s="91"/>
    </row>
    <row r="15" spans="1:3" ht="30" hidden="1" customHeight="1" x14ac:dyDescent="0.2">
      <c r="A15" s="92" t="s">
        <v>86</v>
      </c>
      <c r="B15" s="90"/>
      <c r="C15" s="91"/>
    </row>
    <row r="16" spans="1:3" ht="30" hidden="1" customHeight="1" x14ac:dyDescent="0.2">
      <c r="A16" s="92" t="s">
        <v>167</v>
      </c>
      <c r="B16" s="90"/>
      <c r="C16" s="91"/>
    </row>
    <row r="17" spans="1:3" ht="30" hidden="1" customHeight="1" x14ac:dyDescent="0.2">
      <c r="A17" s="92" t="s">
        <v>168</v>
      </c>
      <c r="B17" s="90"/>
      <c r="C17" s="91"/>
    </row>
    <row r="18" spans="1:3" ht="30" hidden="1" customHeight="1" x14ac:dyDescent="0.2">
      <c r="A18" s="92" t="s">
        <v>116</v>
      </c>
      <c r="B18" s="90"/>
      <c r="C18" s="91"/>
    </row>
    <row r="19" spans="1:3" ht="30" hidden="1" customHeight="1" x14ac:dyDescent="0.2">
      <c r="A19" s="92" t="s">
        <v>169</v>
      </c>
      <c r="B19" s="90"/>
      <c r="C19" s="91"/>
    </row>
    <row r="20" spans="1:3" ht="30" hidden="1" customHeight="1" x14ac:dyDescent="0.2">
      <c r="A20" s="92" t="s">
        <v>171</v>
      </c>
      <c r="B20" s="90"/>
      <c r="C20" s="91"/>
    </row>
    <row r="21" spans="1:3" ht="30" customHeight="1" x14ac:dyDescent="0.2">
      <c r="A21" s="92" t="s">
        <v>172</v>
      </c>
      <c r="B21" s="90">
        <v>-303331</v>
      </c>
      <c r="C21" s="91" t="s">
        <v>533</v>
      </c>
    </row>
    <row r="22" spans="1:3" ht="30" hidden="1" customHeight="1" x14ac:dyDescent="0.2">
      <c r="A22" s="92" t="s">
        <v>112</v>
      </c>
      <c r="B22" s="90"/>
      <c r="C22" s="91"/>
    </row>
    <row r="23" spans="1:3" ht="30" hidden="1" customHeight="1" x14ac:dyDescent="0.2">
      <c r="A23" s="92" t="s">
        <v>173</v>
      </c>
      <c r="B23" s="90"/>
      <c r="C23" s="91"/>
    </row>
    <row r="24" spans="1:3" ht="30" customHeight="1" x14ac:dyDescent="0.2">
      <c r="A24" s="92" t="s">
        <v>154</v>
      </c>
      <c r="B24" s="90">
        <v>303331</v>
      </c>
      <c r="C24" s="91" t="s">
        <v>533</v>
      </c>
    </row>
    <row r="25" spans="1:3" ht="30" hidden="1" customHeight="1" x14ac:dyDescent="0.2">
      <c r="A25" s="92" t="s">
        <v>106</v>
      </c>
      <c r="B25" s="90"/>
      <c r="C25" s="91"/>
    </row>
    <row r="26" spans="1:3" ht="30" hidden="1" customHeight="1" x14ac:dyDescent="0.2">
      <c r="A26" s="92" t="s">
        <v>329</v>
      </c>
      <c r="B26" s="90"/>
      <c r="C26" s="91"/>
    </row>
    <row r="27" spans="1:3" ht="30" hidden="1" customHeight="1" x14ac:dyDescent="0.2">
      <c r="A27" s="92" t="s">
        <v>419</v>
      </c>
      <c r="B27" s="90"/>
      <c r="C27" s="107"/>
    </row>
    <row r="28" spans="1:3" ht="30" hidden="1" customHeight="1" x14ac:dyDescent="0.2">
      <c r="A28" s="92" t="s">
        <v>331</v>
      </c>
      <c r="B28" s="90"/>
      <c r="C28" s="107"/>
    </row>
    <row r="29" spans="1:3" ht="30" hidden="1" customHeight="1" x14ac:dyDescent="0.2">
      <c r="A29" s="92" t="s">
        <v>347</v>
      </c>
      <c r="B29" s="90"/>
      <c r="C29" s="107"/>
    </row>
    <row r="30" spans="1:3" ht="30" hidden="1" customHeight="1" x14ac:dyDescent="0.2">
      <c r="A30" s="92" t="s">
        <v>332</v>
      </c>
      <c r="B30" s="90"/>
      <c r="C30" s="107"/>
    </row>
    <row r="31" spans="1:3" ht="30" hidden="1" customHeight="1" x14ac:dyDescent="0.2">
      <c r="A31" s="92" t="s">
        <v>333</v>
      </c>
      <c r="B31" s="90"/>
      <c r="C31" s="107"/>
    </row>
    <row r="32" spans="1:3" ht="30" hidden="1" customHeight="1" x14ac:dyDescent="0.2">
      <c r="A32" s="92" t="s">
        <v>334</v>
      </c>
      <c r="B32" s="90"/>
      <c r="C32" s="91"/>
    </row>
    <row r="33" spans="1:3" ht="30" hidden="1" customHeight="1" x14ac:dyDescent="0.2">
      <c r="A33" s="92" t="s">
        <v>117</v>
      </c>
      <c r="B33" s="90"/>
      <c r="C33" s="91"/>
    </row>
    <row r="34" spans="1:3" ht="30" hidden="1" customHeight="1" x14ac:dyDescent="0.2">
      <c r="A34" s="92" t="s">
        <v>118</v>
      </c>
      <c r="B34" s="90"/>
      <c r="C34" s="91"/>
    </row>
    <row r="35" spans="1:3" ht="30" hidden="1" customHeight="1" x14ac:dyDescent="0.2">
      <c r="A35" s="92" t="s">
        <v>335</v>
      </c>
      <c r="B35" s="90"/>
      <c r="C35" s="91"/>
    </row>
    <row r="36" spans="1:3" ht="30" hidden="1" customHeight="1" x14ac:dyDescent="0.2">
      <c r="A36" s="92" t="s">
        <v>348</v>
      </c>
      <c r="B36" s="90"/>
      <c r="C36" s="91"/>
    </row>
    <row r="37" spans="1:3" ht="30" customHeight="1" x14ac:dyDescent="0.2">
      <c r="A37" s="92" t="s">
        <v>478</v>
      </c>
      <c r="B37" s="90">
        <v>1547</v>
      </c>
      <c r="C37" s="91" t="s">
        <v>534</v>
      </c>
    </row>
    <row r="38" spans="1:3" ht="30" hidden="1" customHeight="1" x14ac:dyDescent="0.2">
      <c r="A38" s="92" t="s">
        <v>479</v>
      </c>
      <c r="B38" s="90"/>
      <c r="C38" s="91"/>
    </row>
    <row r="39" spans="1:3" ht="30" hidden="1" customHeight="1" x14ac:dyDescent="0.2">
      <c r="A39" s="92" t="s">
        <v>349</v>
      </c>
      <c r="B39" s="90"/>
      <c r="C39" s="91"/>
    </row>
    <row r="40" spans="1:3" ht="30" hidden="1" customHeight="1" x14ac:dyDescent="0.2">
      <c r="A40" s="92" t="s">
        <v>423</v>
      </c>
      <c r="B40" s="90"/>
      <c r="C40" s="91"/>
    </row>
    <row r="41" spans="1:3" ht="30" hidden="1" customHeight="1" x14ac:dyDescent="0.2">
      <c r="A41" s="92" t="s">
        <v>336</v>
      </c>
      <c r="B41" s="90"/>
      <c r="C41" s="91"/>
    </row>
    <row r="42" spans="1:3" ht="30" hidden="1" customHeight="1" x14ac:dyDescent="0.2">
      <c r="A42" s="92" t="s">
        <v>113</v>
      </c>
      <c r="B42" s="90"/>
      <c r="C42" s="91"/>
    </row>
    <row r="43" spans="1:3" ht="30" hidden="1" customHeight="1" x14ac:dyDescent="0.2">
      <c r="A43" s="92" t="s">
        <v>337</v>
      </c>
      <c r="B43" s="90"/>
      <c r="C43" s="91"/>
    </row>
    <row r="44" spans="1:3" ht="30" hidden="1" customHeight="1" x14ac:dyDescent="0.2">
      <c r="A44" s="92" t="s">
        <v>338</v>
      </c>
      <c r="B44" s="90"/>
      <c r="C44" s="91"/>
    </row>
    <row r="45" spans="1:3" ht="30" hidden="1" customHeight="1" x14ac:dyDescent="0.2">
      <c r="A45" s="92" t="s">
        <v>424</v>
      </c>
      <c r="B45" s="90"/>
      <c r="C45" s="91"/>
    </row>
    <row r="46" spans="1:3" ht="30" hidden="1" customHeight="1" x14ac:dyDescent="0.2">
      <c r="A46" s="92" t="s">
        <v>425</v>
      </c>
      <c r="B46" s="90"/>
      <c r="C46" s="91"/>
    </row>
    <row r="47" spans="1:3" ht="30" hidden="1" customHeight="1" x14ac:dyDescent="0.2">
      <c r="A47" s="92" t="s">
        <v>429</v>
      </c>
      <c r="B47" s="90"/>
      <c r="C47" s="94"/>
    </row>
    <row r="48" spans="1:3" ht="30" hidden="1" customHeight="1" x14ac:dyDescent="0.2">
      <c r="A48" s="92" t="s">
        <v>518</v>
      </c>
      <c r="B48" s="90"/>
      <c r="C48" s="94"/>
    </row>
    <row r="49" spans="1:3" ht="30" hidden="1" customHeight="1" x14ac:dyDescent="0.2">
      <c r="A49" s="92" t="s">
        <v>465</v>
      </c>
      <c r="B49" s="90"/>
      <c r="C49" s="94"/>
    </row>
    <row r="50" spans="1:3" ht="30" hidden="1" customHeight="1" x14ac:dyDescent="0.2">
      <c r="A50" s="92" t="s">
        <v>474</v>
      </c>
      <c r="B50" s="90"/>
      <c r="C50" s="94"/>
    </row>
    <row r="51" spans="1:3" ht="30" hidden="1" customHeight="1" x14ac:dyDescent="0.2">
      <c r="A51" s="92" t="s">
        <v>477</v>
      </c>
      <c r="B51" s="90"/>
      <c r="C51" s="94"/>
    </row>
    <row r="52" spans="1:3" ht="30" hidden="1" customHeight="1" x14ac:dyDescent="0.2">
      <c r="A52" s="92" t="s">
        <v>501</v>
      </c>
      <c r="B52" s="90"/>
      <c r="C52" s="91"/>
    </row>
    <row r="53" spans="1:3" ht="30" hidden="1" customHeight="1" x14ac:dyDescent="0.2">
      <c r="A53" s="105" t="s">
        <v>465</v>
      </c>
      <c r="B53" s="90"/>
      <c r="C53" s="106"/>
    </row>
    <row r="54" spans="1:3" ht="30" customHeight="1" x14ac:dyDescent="0.2">
      <c r="A54" s="95" t="s">
        <v>10</v>
      </c>
      <c r="B54" s="51">
        <f>SUBTOTAL(9,B10:B53)</f>
        <v>1547</v>
      </c>
      <c r="C54" s="91"/>
    </row>
    <row r="55" spans="1:3" ht="30" customHeight="1" x14ac:dyDescent="0.2">
      <c r="A55" s="96"/>
      <c r="B55" s="1"/>
      <c r="C55" s="91"/>
    </row>
    <row r="56" spans="1:3" ht="24.75" customHeight="1" x14ac:dyDescent="0.2">
      <c r="A56" s="95" t="s">
        <v>11</v>
      </c>
      <c r="B56" s="1"/>
      <c r="C56" s="91"/>
    </row>
    <row r="57" spans="1:3" ht="28.5" hidden="1" customHeight="1" x14ac:dyDescent="0.2">
      <c r="A57" s="96"/>
      <c r="B57" s="1"/>
      <c r="C57" s="91"/>
    </row>
    <row r="58" spans="1:3" ht="30" hidden="1" customHeight="1" x14ac:dyDescent="0.2">
      <c r="A58" s="96" t="s">
        <v>253</v>
      </c>
      <c r="B58" s="1"/>
      <c r="C58" s="91"/>
    </row>
    <row r="59" spans="1:3" ht="30" hidden="1" customHeight="1" x14ac:dyDescent="0.2">
      <c r="A59" s="96" t="s">
        <v>339</v>
      </c>
      <c r="B59" s="52"/>
      <c r="C59" s="91"/>
    </row>
    <row r="60" spans="1:3" ht="30" hidden="1" customHeight="1" x14ac:dyDescent="0.2">
      <c r="A60" s="96" t="s">
        <v>340</v>
      </c>
      <c r="B60" s="1"/>
      <c r="C60" s="91"/>
    </row>
    <row r="61" spans="1:3" ht="30" hidden="1" customHeight="1" x14ac:dyDescent="0.2">
      <c r="A61" s="96" t="s">
        <v>341</v>
      </c>
      <c r="B61" s="1"/>
      <c r="C61" s="91"/>
    </row>
    <row r="62" spans="1:3" ht="30" hidden="1" customHeight="1" x14ac:dyDescent="0.2">
      <c r="A62" s="96" t="s">
        <v>254</v>
      </c>
      <c r="B62" s="51">
        <f>SUBTOTAL(9,B59:B61)</f>
        <v>0</v>
      </c>
      <c r="C62" s="91"/>
    </row>
    <row r="63" spans="1:3" ht="30" hidden="1" customHeight="1" x14ac:dyDescent="0.2">
      <c r="A63" s="96"/>
      <c r="B63" s="1"/>
      <c r="C63" s="91"/>
    </row>
    <row r="64" spans="1:3" ht="30" hidden="1" customHeight="1" x14ac:dyDescent="0.2">
      <c r="A64" s="96" t="s">
        <v>252</v>
      </c>
      <c r="B64" s="51"/>
      <c r="C64" s="91"/>
    </row>
    <row r="65" spans="1:3" ht="30" hidden="1" customHeight="1" x14ac:dyDescent="0.2">
      <c r="A65" s="96"/>
      <c r="B65" s="1"/>
      <c r="C65" s="91"/>
    </row>
    <row r="66" spans="1:3" ht="30" hidden="1" customHeight="1" x14ac:dyDescent="0.2">
      <c r="A66" s="96" t="s">
        <v>271</v>
      </c>
      <c r="B66" s="51"/>
      <c r="C66" s="91"/>
    </row>
    <row r="67" spans="1:3" ht="30" customHeight="1" x14ac:dyDescent="0.2">
      <c r="A67" s="96"/>
      <c r="B67" s="1"/>
      <c r="C67" s="91"/>
    </row>
    <row r="68" spans="1:3" ht="30" customHeight="1" x14ac:dyDescent="0.2">
      <c r="A68" s="92" t="s">
        <v>180</v>
      </c>
      <c r="B68" s="1"/>
      <c r="C68" s="91"/>
    </row>
    <row r="69" spans="1:3" ht="30" hidden="1" customHeight="1" x14ac:dyDescent="0.2">
      <c r="A69" s="92" t="s">
        <v>64</v>
      </c>
      <c r="B69" s="104">
        <f>'INCREASE(DECREASE)'!U3</f>
        <v>0</v>
      </c>
      <c r="C69" s="91" t="s">
        <v>207</v>
      </c>
    </row>
    <row r="70" spans="1:3" ht="30" customHeight="1" x14ac:dyDescent="0.2">
      <c r="A70" s="92" t="s">
        <v>215</v>
      </c>
      <c r="B70" s="104">
        <f>'INCREASE(DECREASE)'!U4</f>
        <v>8200</v>
      </c>
      <c r="C70" s="91" t="s">
        <v>207</v>
      </c>
    </row>
    <row r="71" spans="1:3" ht="30" customHeight="1" x14ac:dyDescent="0.2">
      <c r="A71" s="92" t="s">
        <v>196</v>
      </c>
      <c r="B71" s="104">
        <f>'INCREASE(DECREASE)'!U5</f>
        <v>246</v>
      </c>
      <c r="C71" s="91" t="s">
        <v>207</v>
      </c>
    </row>
    <row r="72" spans="1:3" ht="30" customHeight="1" x14ac:dyDescent="0.2">
      <c r="A72" s="92" t="s">
        <v>74</v>
      </c>
      <c r="B72" s="104">
        <f>'INCREASE(DECREASE)'!U6</f>
        <v>1786.8000000000002</v>
      </c>
      <c r="C72" s="91" t="s">
        <v>207</v>
      </c>
    </row>
    <row r="73" spans="1:3" ht="30" customHeight="1" x14ac:dyDescent="0.2">
      <c r="A73" s="92" t="s">
        <v>77</v>
      </c>
      <c r="B73" s="104">
        <f>'INCREASE(DECREASE)'!U7</f>
        <v>4931.38</v>
      </c>
      <c r="C73" s="91" t="s">
        <v>207</v>
      </c>
    </row>
    <row r="74" spans="1:3" ht="30" customHeight="1" x14ac:dyDescent="0.2">
      <c r="A74" s="92" t="s">
        <v>78</v>
      </c>
      <c r="B74" s="104">
        <f>'INCREASE(DECREASE)'!U8</f>
        <v>2120</v>
      </c>
      <c r="C74" s="91" t="s">
        <v>207</v>
      </c>
    </row>
    <row r="75" spans="1:3" ht="30" customHeight="1" x14ac:dyDescent="0.2">
      <c r="A75" s="92" t="s">
        <v>68</v>
      </c>
      <c r="B75" s="104">
        <f>'INCREASE(DECREASE)'!U9</f>
        <v>3491.4</v>
      </c>
      <c r="C75" s="91" t="s">
        <v>207</v>
      </c>
    </row>
    <row r="76" spans="1:3" ht="30" customHeight="1" x14ac:dyDescent="0.2">
      <c r="A76" s="92" t="s">
        <v>137</v>
      </c>
      <c r="B76" s="104">
        <f>'INCREASE(DECREASE)'!U10</f>
        <v>3536.8</v>
      </c>
      <c r="C76" s="91" t="s">
        <v>207</v>
      </c>
    </row>
    <row r="77" spans="1:3" ht="30" customHeight="1" x14ac:dyDescent="0.2">
      <c r="A77" s="92" t="s">
        <v>65</v>
      </c>
      <c r="B77" s="104">
        <f>'INCREASE(DECREASE)'!U11</f>
        <v>3652.6</v>
      </c>
      <c r="C77" s="91" t="s">
        <v>207</v>
      </c>
    </row>
    <row r="78" spans="1:3" ht="30" customHeight="1" x14ac:dyDescent="0.2">
      <c r="A78" s="92" t="s">
        <v>66</v>
      </c>
      <c r="B78" s="104">
        <f>'INCREASE(DECREASE)'!U12</f>
        <v>3157.6599999999994</v>
      </c>
      <c r="C78" s="91" t="s">
        <v>207</v>
      </c>
    </row>
    <row r="79" spans="1:3" ht="30" customHeight="1" x14ac:dyDescent="0.2">
      <c r="A79" s="92" t="s">
        <v>138</v>
      </c>
      <c r="B79" s="104">
        <f>'INCREASE(DECREASE)'!U13</f>
        <v>1615.44</v>
      </c>
      <c r="C79" s="91" t="s">
        <v>207</v>
      </c>
    </row>
    <row r="80" spans="1:3" ht="30" customHeight="1" x14ac:dyDescent="0.2">
      <c r="A80" s="92" t="s">
        <v>69</v>
      </c>
      <c r="B80" s="104">
        <f>'INCREASE(DECREASE)'!U14</f>
        <v>900</v>
      </c>
      <c r="C80" s="91" t="s">
        <v>207</v>
      </c>
    </row>
    <row r="81" spans="1:3" ht="30" customHeight="1" x14ac:dyDescent="0.2">
      <c r="A81" s="92" t="s">
        <v>224</v>
      </c>
      <c r="B81" s="104">
        <f>'INCREASE(DECREASE)'!U15</f>
        <v>4610.8900000000003</v>
      </c>
      <c r="C81" s="91" t="s">
        <v>207</v>
      </c>
    </row>
    <row r="82" spans="1:3" ht="30" customHeight="1" x14ac:dyDescent="0.2">
      <c r="A82" s="92" t="s">
        <v>107</v>
      </c>
      <c r="B82" s="104">
        <f>'INCREASE(DECREASE)'!U16</f>
        <v>688.39999999999986</v>
      </c>
      <c r="C82" s="91" t="s">
        <v>207</v>
      </c>
    </row>
    <row r="83" spans="1:3" ht="30" hidden="1" customHeight="1" x14ac:dyDescent="0.2">
      <c r="A83" s="92" t="s">
        <v>76</v>
      </c>
      <c r="B83" s="104">
        <f>'INCREASE(DECREASE)'!U17</f>
        <v>0</v>
      </c>
      <c r="C83" s="91" t="s">
        <v>207</v>
      </c>
    </row>
    <row r="84" spans="1:3" ht="30" customHeight="1" x14ac:dyDescent="0.2">
      <c r="A84" s="92" t="s">
        <v>72</v>
      </c>
      <c r="B84" s="104">
        <f>'INCREASE(DECREASE)'!U18</f>
        <v>2846.9</v>
      </c>
      <c r="C84" s="91" t="s">
        <v>207</v>
      </c>
    </row>
    <row r="85" spans="1:3" ht="30" hidden="1" customHeight="1" x14ac:dyDescent="0.2">
      <c r="A85" s="92" t="s">
        <v>104</v>
      </c>
      <c r="B85" s="104">
        <f>'INCREASE(DECREASE)'!U19</f>
        <v>0</v>
      </c>
      <c r="C85" s="91" t="s">
        <v>207</v>
      </c>
    </row>
    <row r="86" spans="1:3" ht="30" hidden="1" customHeight="1" x14ac:dyDescent="0.2">
      <c r="A86" s="92" t="s">
        <v>67</v>
      </c>
      <c r="B86" s="104">
        <f>'INCREASE(DECREASE)'!U20</f>
        <v>0</v>
      </c>
      <c r="C86" s="91" t="s">
        <v>207</v>
      </c>
    </row>
    <row r="87" spans="1:3" ht="30" customHeight="1" x14ac:dyDescent="0.2">
      <c r="A87" s="92" t="s">
        <v>75</v>
      </c>
      <c r="B87" s="104">
        <f>'INCREASE(DECREASE)'!U21</f>
        <v>4645.0199999999995</v>
      </c>
      <c r="C87" s="91" t="s">
        <v>207</v>
      </c>
    </row>
    <row r="88" spans="1:3" ht="30" customHeight="1" x14ac:dyDescent="0.2">
      <c r="A88" s="92" t="s">
        <v>71</v>
      </c>
      <c r="B88" s="104">
        <f>'INCREASE(DECREASE)'!U22</f>
        <v>134.80000000000001</v>
      </c>
      <c r="C88" s="91" t="s">
        <v>207</v>
      </c>
    </row>
    <row r="89" spans="1:3" ht="30" customHeight="1" x14ac:dyDescent="0.2">
      <c r="A89" s="92" t="s">
        <v>208</v>
      </c>
      <c r="B89" s="104">
        <f>'INCREASE(DECREASE)'!U23</f>
        <v>6164</v>
      </c>
      <c r="C89" s="91" t="s">
        <v>207</v>
      </c>
    </row>
    <row r="90" spans="1:3" ht="30" customHeight="1" x14ac:dyDescent="0.2">
      <c r="A90" s="92" t="s">
        <v>342</v>
      </c>
      <c r="B90" s="104">
        <f>'INCREASE(DECREASE)'!U24</f>
        <v>4625</v>
      </c>
      <c r="C90" s="91" t="s">
        <v>207</v>
      </c>
    </row>
    <row r="91" spans="1:3" ht="30" customHeight="1" x14ac:dyDescent="0.2">
      <c r="A91" s="92" t="s">
        <v>448</v>
      </c>
      <c r="B91" s="104">
        <f>'INCREASE(DECREASE)'!U25</f>
        <v>7988.2000000000007</v>
      </c>
      <c r="C91" s="91" t="s">
        <v>207</v>
      </c>
    </row>
    <row r="92" spans="1:3" ht="30" customHeight="1" x14ac:dyDescent="0.2">
      <c r="A92" s="92" t="s">
        <v>579</v>
      </c>
      <c r="B92" s="104">
        <f>'INCREASE(DECREASE)'!U26</f>
        <v>3000</v>
      </c>
      <c r="C92" s="91" t="s">
        <v>207</v>
      </c>
    </row>
    <row r="93" spans="1:3" ht="30" customHeight="1" x14ac:dyDescent="0.2">
      <c r="A93" s="92" t="s">
        <v>223</v>
      </c>
      <c r="B93" s="104">
        <f>'INCREASE(DECREASE)'!U27</f>
        <v>7600</v>
      </c>
      <c r="C93" s="91" t="s">
        <v>207</v>
      </c>
    </row>
    <row r="94" spans="1:3" ht="30" customHeight="1" x14ac:dyDescent="0.2">
      <c r="A94" s="92" t="s">
        <v>211</v>
      </c>
      <c r="B94" s="104">
        <f>'INCREASE(DECREASE)'!U28</f>
        <v>2988.6400000000003</v>
      </c>
      <c r="C94" s="91" t="s">
        <v>207</v>
      </c>
    </row>
    <row r="95" spans="1:3" ht="30" customHeight="1" x14ac:dyDescent="0.2">
      <c r="A95" s="92" t="s">
        <v>73</v>
      </c>
      <c r="B95" s="104">
        <f>'INCREASE(DECREASE)'!U29</f>
        <v>3500</v>
      </c>
      <c r="C95" s="91" t="s">
        <v>207</v>
      </c>
    </row>
    <row r="96" spans="1:3" ht="30" customHeight="1" x14ac:dyDescent="0.2">
      <c r="A96" s="92" t="s">
        <v>158</v>
      </c>
      <c r="B96" s="104">
        <f>'INCREASE(DECREASE)'!U30</f>
        <v>4450</v>
      </c>
      <c r="C96" s="91" t="s">
        <v>207</v>
      </c>
    </row>
    <row r="97" spans="1:3" ht="30" customHeight="1" x14ac:dyDescent="0.2">
      <c r="A97" s="92" t="s">
        <v>82</v>
      </c>
      <c r="B97" s="104">
        <f>'INCREASE(DECREASE)'!U31</f>
        <v>3500</v>
      </c>
      <c r="C97" s="91" t="s">
        <v>207</v>
      </c>
    </row>
    <row r="98" spans="1:3" ht="30" hidden="1" customHeight="1" x14ac:dyDescent="0.2">
      <c r="A98" s="92" t="s">
        <v>136</v>
      </c>
      <c r="B98" s="104">
        <f>'INCREASE(DECREASE)'!U32</f>
        <v>0</v>
      </c>
      <c r="C98" s="91" t="s">
        <v>207</v>
      </c>
    </row>
    <row r="99" spans="1:3" ht="30" hidden="1" customHeight="1" x14ac:dyDescent="0.2">
      <c r="A99" s="92" t="s">
        <v>70</v>
      </c>
      <c r="B99" s="104">
        <f>'INCREASE(DECREASE)'!U33</f>
        <v>0</v>
      </c>
      <c r="C99" s="91" t="s">
        <v>207</v>
      </c>
    </row>
    <row r="100" spans="1:3" ht="30" customHeight="1" x14ac:dyDescent="0.2">
      <c r="A100" s="92" t="s">
        <v>135</v>
      </c>
      <c r="B100" s="104">
        <f>'INCREASE(DECREASE)'!U34</f>
        <v>3220.36</v>
      </c>
      <c r="C100" s="91" t="s">
        <v>207</v>
      </c>
    </row>
    <row r="101" spans="1:3" ht="30" customHeight="1" x14ac:dyDescent="0.2">
      <c r="A101" s="92" t="s">
        <v>469</v>
      </c>
      <c r="B101" s="104">
        <f>'INCREASE(DECREASE)'!U35</f>
        <v>6078.2999999999993</v>
      </c>
      <c r="C101" s="91" t="s">
        <v>207</v>
      </c>
    </row>
    <row r="102" spans="1:3" ht="30" customHeight="1" x14ac:dyDescent="0.2">
      <c r="A102" s="92" t="s">
        <v>209</v>
      </c>
      <c r="B102" s="104">
        <f>'INCREASE(DECREASE)'!U36</f>
        <v>794.94</v>
      </c>
      <c r="C102" s="91" t="s">
        <v>207</v>
      </c>
    </row>
    <row r="103" spans="1:3" ht="30" hidden="1" customHeight="1" x14ac:dyDescent="0.2">
      <c r="A103" s="92" t="s">
        <v>105</v>
      </c>
      <c r="B103" s="104">
        <f>'INCREASE(DECREASE)'!U37</f>
        <v>0</v>
      </c>
      <c r="C103" s="91" t="s">
        <v>207</v>
      </c>
    </row>
    <row r="104" spans="1:3" ht="30" hidden="1" customHeight="1" x14ac:dyDescent="0.2">
      <c r="A104" s="92" t="s">
        <v>270</v>
      </c>
      <c r="B104" s="104">
        <f>'INCREASE(DECREASE)'!U38</f>
        <v>0</v>
      </c>
      <c r="C104" s="91" t="s">
        <v>207</v>
      </c>
    </row>
    <row r="105" spans="1:3" ht="30" customHeight="1" x14ac:dyDescent="0.2">
      <c r="A105" s="92" t="s">
        <v>96</v>
      </c>
      <c r="B105" s="51">
        <f>SUBTOTAL(9,B69:B104)</f>
        <v>100473.53000000001</v>
      </c>
      <c r="C105" s="91"/>
    </row>
    <row r="106" spans="1:3" ht="30" customHeight="1" x14ac:dyDescent="0.2">
      <c r="A106" s="92"/>
      <c r="B106" s="1"/>
      <c r="C106" s="91"/>
    </row>
    <row r="107" spans="1:3" ht="30" hidden="1" customHeight="1" x14ac:dyDescent="0.2">
      <c r="A107" s="92" t="s">
        <v>201</v>
      </c>
      <c r="B107" s="51"/>
      <c r="C107" s="91"/>
    </row>
    <row r="108" spans="1:3" ht="30" hidden="1" customHeight="1" x14ac:dyDescent="0.2">
      <c r="A108" s="92"/>
      <c r="B108" s="90"/>
      <c r="C108" s="91"/>
    </row>
    <row r="109" spans="1:3" ht="30" customHeight="1" x14ac:dyDescent="0.2">
      <c r="A109" s="92" t="s">
        <v>178</v>
      </c>
      <c r="B109" s="1"/>
      <c r="C109" s="91"/>
    </row>
    <row r="110" spans="1:3" ht="30" hidden="1" customHeight="1" x14ac:dyDescent="0.2">
      <c r="A110" s="92" t="s">
        <v>64</v>
      </c>
      <c r="B110" s="104">
        <f>'INCREASE(DECREASE)'!U40</f>
        <v>0</v>
      </c>
      <c r="C110" s="91"/>
    </row>
    <row r="111" spans="1:3" ht="30" customHeight="1" x14ac:dyDescent="0.2">
      <c r="A111" s="92" t="s">
        <v>215</v>
      </c>
      <c r="B111" s="104">
        <f>'INCREASE(DECREASE)'!U41</f>
        <v>3000</v>
      </c>
      <c r="C111" s="91" t="s">
        <v>595</v>
      </c>
    </row>
    <row r="112" spans="1:3" ht="30" hidden="1" customHeight="1" x14ac:dyDescent="0.2">
      <c r="A112" s="97" t="s">
        <v>193</v>
      </c>
      <c r="B112" s="104">
        <f>'INCREASE(DECREASE)'!U42</f>
        <v>0</v>
      </c>
      <c r="C112" s="91"/>
    </row>
    <row r="113" spans="1:3" ht="30" hidden="1" customHeight="1" x14ac:dyDescent="0.2">
      <c r="A113" s="92" t="s">
        <v>79</v>
      </c>
      <c r="B113" s="104">
        <f>'INCREASE(DECREASE)'!U43</f>
        <v>0</v>
      </c>
      <c r="C113" s="91"/>
    </row>
    <row r="114" spans="1:3" ht="30" customHeight="1" x14ac:dyDescent="0.2">
      <c r="A114" s="92" t="s">
        <v>185</v>
      </c>
      <c r="B114" s="104">
        <f>'INCREASE(DECREASE)'!U44</f>
        <v>4425</v>
      </c>
      <c r="C114" s="91" t="s">
        <v>596</v>
      </c>
    </row>
    <row r="115" spans="1:3" ht="30" hidden="1" customHeight="1" x14ac:dyDescent="0.2">
      <c r="A115" s="92" t="s">
        <v>78</v>
      </c>
      <c r="B115" s="104">
        <f>'INCREASE(DECREASE)'!U45</f>
        <v>0</v>
      </c>
      <c r="C115" s="91"/>
    </row>
    <row r="116" spans="1:3" ht="30" hidden="1" customHeight="1" x14ac:dyDescent="0.2">
      <c r="A116" s="92" t="s">
        <v>189</v>
      </c>
      <c r="B116" s="104">
        <f>'INCREASE(DECREASE)'!U46</f>
        <v>0</v>
      </c>
      <c r="C116" s="91"/>
    </row>
    <row r="117" spans="1:3" ht="30" hidden="1" customHeight="1" x14ac:dyDescent="0.2">
      <c r="A117" s="92" t="s">
        <v>137</v>
      </c>
      <c r="B117" s="104">
        <f>'INCREASE(DECREASE)'!U47</f>
        <v>0</v>
      </c>
      <c r="C117" s="91"/>
    </row>
    <row r="118" spans="1:3" ht="30" hidden="1" customHeight="1" x14ac:dyDescent="0.2">
      <c r="A118" s="92" t="s">
        <v>214</v>
      </c>
      <c r="B118" s="104">
        <f>'INCREASE(DECREASE)'!U48</f>
        <v>0</v>
      </c>
      <c r="C118" s="91"/>
    </row>
    <row r="119" spans="1:3" ht="30" hidden="1" customHeight="1" x14ac:dyDescent="0.2">
      <c r="A119" s="92" t="s">
        <v>66</v>
      </c>
      <c r="B119" s="104">
        <f>'INCREASE(DECREASE)'!U49</f>
        <v>0</v>
      </c>
      <c r="C119" s="91"/>
    </row>
    <row r="120" spans="1:3" ht="30" hidden="1" customHeight="1" x14ac:dyDescent="0.2">
      <c r="A120" s="92" t="s">
        <v>138</v>
      </c>
      <c r="B120" s="104">
        <f>'INCREASE(DECREASE)'!U50</f>
        <v>0</v>
      </c>
      <c r="C120" s="91"/>
    </row>
    <row r="121" spans="1:3" ht="30" hidden="1" customHeight="1" x14ac:dyDescent="0.2">
      <c r="A121" s="92" t="s">
        <v>69</v>
      </c>
      <c r="B121" s="104">
        <f>'INCREASE(DECREASE)'!U51</f>
        <v>0</v>
      </c>
      <c r="C121" s="91"/>
    </row>
    <row r="122" spans="1:3" ht="30" hidden="1" customHeight="1" x14ac:dyDescent="0.2">
      <c r="A122" s="92" t="s">
        <v>228</v>
      </c>
      <c r="B122" s="104">
        <f>'INCREASE(DECREASE)'!U52</f>
        <v>0</v>
      </c>
      <c r="C122" s="91"/>
    </row>
    <row r="123" spans="1:3" ht="30" hidden="1" customHeight="1" x14ac:dyDescent="0.2">
      <c r="A123" s="92" t="s">
        <v>107</v>
      </c>
      <c r="B123" s="104">
        <f>'INCREASE(DECREASE)'!U53</f>
        <v>0</v>
      </c>
      <c r="C123" s="91"/>
    </row>
    <row r="124" spans="1:3" ht="30" hidden="1" customHeight="1" x14ac:dyDescent="0.2">
      <c r="A124" s="92" t="s">
        <v>76</v>
      </c>
      <c r="B124" s="104">
        <f>'INCREASE(DECREASE)'!U54</f>
        <v>0</v>
      </c>
      <c r="C124" s="91"/>
    </row>
    <row r="125" spans="1:3" ht="30" hidden="1" customHeight="1" x14ac:dyDescent="0.2">
      <c r="A125" s="92" t="s">
        <v>72</v>
      </c>
      <c r="B125" s="104">
        <f>'INCREASE(DECREASE)'!U55</f>
        <v>0</v>
      </c>
      <c r="C125" s="91"/>
    </row>
    <row r="126" spans="1:3" ht="30" hidden="1" customHeight="1" x14ac:dyDescent="0.2">
      <c r="A126" s="98" t="s">
        <v>225</v>
      </c>
      <c r="B126" s="104">
        <f>'INCREASE(DECREASE)'!U56</f>
        <v>0</v>
      </c>
      <c r="C126" s="91"/>
    </row>
    <row r="127" spans="1:3" ht="30" hidden="1" customHeight="1" x14ac:dyDescent="0.2">
      <c r="A127" s="92" t="s">
        <v>67</v>
      </c>
      <c r="B127" s="104">
        <f>'INCREASE(DECREASE)'!U57</f>
        <v>0</v>
      </c>
      <c r="C127" s="91"/>
    </row>
    <row r="128" spans="1:3" ht="30" hidden="1" customHeight="1" x14ac:dyDescent="0.2">
      <c r="A128" s="92" t="s">
        <v>75</v>
      </c>
      <c r="B128" s="104">
        <f>'INCREASE(DECREASE)'!U58</f>
        <v>0</v>
      </c>
      <c r="C128" s="91"/>
    </row>
    <row r="129" spans="1:3" ht="30" hidden="1" customHeight="1" x14ac:dyDescent="0.2">
      <c r="A129" s="92" t="s">
        <v>71</v>
      </c>
      <c r="B129" s="104">
        <f>'INCREASE(DECREASE)'!U59</f>
        <v>0</v>
      </c>
      <c r="C129" s="91"/>
    </row>
    <row r="130" spans="1:3" ht="30" hidden="1" customHeight="1" x14ac:dyDescent="0.2">
      <c r="A130" s="92" t="s">
        <v>208</v>
      </c>
      <c r="B130" s="104">
        <f>'INCREASE(DECREASE)'!U60</f>
        <v>0</v>
      </c>
      <c r="C130" s="91"/>
    </row>
    <row r="131" spans="1:3" ht="30" hidden="1" customHeight="1" x14ac:dyDescent="0.2">
      <c r="A131" s="92" t="s">
        <v>342</v>
      </c>
      <c r="B131" s="104">
        <f>'INCREASE(DECREASE)'!U61</f>
        <v>0</v>
      </c>
      <c r="C131" s="91"/>
    </row>
    <row r="132" spans="1:3" ht="30" hidden="1" customHeight="1" x14ac:dyDescent="0.2">
      <c r="A132" s="92" t="s">
        <v>448</v>
      </c>
      <c r="B132" s="104">
        <f>'INCREASE(DECREASE)'!U62</f>
        <v>0</v>
      </c>
      <c r="C132" s="91"/>
    </row>
    <row r="133" spans="1:3" ht="30" customHeight="1" x14ac:dyDescent="0.2">
      <c r="A133" s="92" t="s">
        <v>213</v>
      </c>
      <c r="B133" s="104">
        <f>'INCREASE(DECREASE)'!U63</f>
        <v>4093.71</v>
      </c>
      <c r="C133" s="91" t="s">
        <v>597</v>
      </c>
    </row>
    <row r="134" spans="1:3" ht="30" hidden="1" customHeight="1" x14ac:dyDescent="0.2">
      <c r="A134" s="92" t="s">
        <v>211</v>
      </c>
      <c r="B134" s="104">
        <f>'INCREASE(DECREASE)'!U64</f>
        <v>0</v>
      </c>
      <c r="C134" s="91"/>
    </row>
    <row r="135" spans="1:3" ht="30" hidden="1" customHeight="1" x14ac:dyDescent="0.2">
      <c r="A135" s="92" t="s">
        <v>73</v>
      </c>
      <c r="B135" s="104">
        <f>'INCREASE(DECREASE)'!U65</f>
        <v>0</v>
      </c>
      <c r="C135" s="91"/>
    </row>
    <row r="136" spans="1:3" ht="30" hidden="1" customHeight="1" x14ac:dyDescent="0.2">
      <c r="A136" s="92" t="s">
        <v>235</v>
      </c>
      <c r="B136" s="104">
        <f>'INCREASE(DECREASE)'!U66</f>
        <v>0</v>
      </c>
      <c r="C136" s="91"/>
    </row>
    <row r="137" spans="1:3" ht="30" hidden="1" customHeight="1" x14ac:dyDescent="0.2">
      <c r="A137" s="92" t="s">
        <v>82</v>
      </c>
      <c r="B137" s="104">
        <f>'INCREASE(DECREASE)'!U67</f>
        <v>0</v>
      </c>
      <c r="C137" s="91"/>
    </row>
    <row r="138" spans="1:3" ht="30" hidden="1" customHeight="1" x14ac:dyDescent="0.2">
      <c r="A138" s="92" t="s">
        <v>136</v>
      </c>
      <c r="B138" s="104">
        <f>'INCREASE(DECREASE)'!U68</f>
        <v>0</v>
      </c>
      <c r="C138" s="91"/>
    </row>
    <row r="139" spans="1:3" ht="30" hidden="1" customHeight="1" x14ac:dyDescent="0.2">
      <c r="A139" s="92" t="s">
        <v>70</v>
      </c>
      <c r="B139" s="104">
        <f>'INCREASE(DECREASE)'!U69</f>
        <v>0</v>
      </c>
      <c r="C139" s="91"/>
    </row>
    <row r="140" spans="1:3" ht="30" hidden="1" customHeight="1" x14ac:dyDescent="0.2">
      <c r="A140" s="92" t="s">
        <v>135</v>
      </c>
      <c r="B140" s="104">
        <f>'INCREASE(DECREASE)'!U70</f>
        <v>0</v>
      </c>
      <c r="C140" s="91"/>
    </row>
    <row r="141" spans="1:3" ht="30" hidden="1" customHeight="1" x14ac:dyDescent="0.2">
      <c r="A141" s="92" t="s">
        <v>464</v>
      </c>
      <c r="B141" s="104">
        <f>'INCREASE(DECREASE)'!U71</f>
        <v>0</v>
      </c>
      <c r="C141" s="91"/>
    </row>
    <row r="142" spans="1:3" ht="30" hidden="1" customHeight="1" x14ac:dyDescent="0.2">
      <c r="A142" s="97" t="s">
        <v>514</v>
      </c>
      <c r="B142" s="104">
        <f>'INCREASE(DECREASE)'!U72</f>
        <v>0</v>
      </c>
      <c r="C142" s="91"/>
    </row>
    <row r="143" spans="1:3" ht="30" hidden="1" customHeight="1" x14ac:dyDescent="0.2">
      <c r="A143" s="92" t="s">
        <v>105</v>
      </c>
      <c r="B143" s="104">
        <f>'INCREASE(DECREASE)'!U73</f>
        <v>0</v>
      </c>
      <c r="C143" s="91"/>
    </row>
    <row r="144" spans="1:3" ht="30" hidden="1" customHeight="1" x14ac:dyDescent="0.2">
      <c r="A144" s="97" t="s">
        <v>511</v>
      </c>
      <c r="B144" s="104">
        <f>'INCREASE(DECREASE)'!U74</f>
        <v>0</v>
      </c>
      <c r="C144" s="91"/>
    </row>
    <row r="145" spans="1:3" ht="30" hidden="1" customHeight="1" x14ac:dyDescent="0.2">
      <c r="A145" s="105" t="s">
        <v>522</v>
      </c>
      <c r="B145" s="104">
        <f>'INCREASE(DECREASE)'!U75</f>
        <v>0</v>
      </c>
      <c r="C145" s="107"/>
    </row>
    <row r="146" spans="1:3" ht="30" customHeight="1" x14ac:dyDescent="0.2">
      <c r="A146" s="92" t="s">
        <v>97</v>
      </c>
      <c r="B146" s="51">
        <f>SUBTOTAL(9,B109:B145)</f>
        <v>11518.71</v>
      </c>
      <c r="C146" s="91"/>
    </row>
    <row r="147" spans="1:3" ht="30" customHeight="1" x14ac:dyDescent="0.2">
      <c r="A147" s="92"/>
      <c r="B147" s="51"/>
      <c r="C147" s="91"/>
    </row>
    <row r="148" spans="1:3" ht="30" customHeight="1" x14ac:dyDescent="0.2">
      <c r="A148" s="92" t="s">
        <v>249</v>
      </c>
      <c r="B148" s="51"/>
      <c r="C148" s="91"/>
    </row>
    <row r="149" spans="1:3" ht="30" customHeight="1" x14ac:dyDescent="0.2">
      <c r="A149" s="92" t="s">
        <v>512</v>
      </c>
      <c r="B149" s="1">
        <v>2314</v>
      </c>
      <c r="C149" s="91" t="s">
        <v>505</v>
      </c>
    </row>
    <row r="150" spans="1:3" ht="30" customHeight="1" x14ac:dyDescent="0.2">
      <c r="A150" s="92" t="s">
        <v>250</v>
      </c>
      <c r="B150" s="51">
        <f>SUBTOTAL(9,B149)</f>
        <v>2314</v>
      </c>
      <c r="C150" s="91"/>
    </row>
    <row r="151" spans="1:3" ht="30" customHeight="1" x14ac:dyDescent="0.2">
      <c r="A151" s="92"/>
      <c r="B151" s="51"/>
      <c r="C151" s="91"/>
    </row>
    <row r="152" spans="1:3" ht="30" hidden="1" customHeight="1" x14ac:dyDescent="0.2">
      <c r="A152" s="92" t="s">
        <v>218</v>
      </c>
      <c r="B152" s="51"/>
      <c r="C152" s="91"/>
    </row>
    <row r="153" spans="1:3" ht="30" hidden="1" customHeight="1" x14ac:dyDescent="0.2">
      <c r="A153" s="92" t="s">
        <v>174</v>
      </c>
      <c r="B153" s="1"/>
      <c r="C153" s="91" t="s">
        <v>354</v>
      </c>
    </row>
    <row r="154" spans="1:3" ht="30" hidden="1" customHeight="1" x14ac:dyDescent="0.2">
      <c r="A154" s="92" t="s">
        <v>219</v>
      </c>
      <c r="B154" s="51">
        <f>SUBTOTAL(9,B152:B153)</f>
        <v>0</v>
      </c>
      <c r="C154" s="91"/>
    </row>
    <row r="155" spans="1:3" ht="30" hidden="1" customHeight="1" x14ac:dyDescent="0.2">
      <c r="A155" s="92"/>
      <c r="B155" s="1"/>
      <c r="C155" s="91"/>
    </row>
    <row r="156" spans="1:3" ht="30" hidden="1" customHeight="1" x14ac:dyDescent="0.2">
      <c r="A156" s="92" t="s">
        <v>177</v>
      </c>
      <c r="B156" s="51"/>
      <c r="C156" s="91"/>
    </row>
    <row r="157" spans="1:3" ht="30" hidden="1" customHeight="1" x14ac:dyDescent="0.2">
      <c r="A157" s="92" t="s">
        <v>320</v>
      </c>
      <c r="B157" s="104">
        <f>'INCREASE(DECREASE)'!U77</f>
        <v>0</v>
      </c>
      <c r="C157" s="91" t="s">
        <v>412</v>
      </c>
    </row>
    <row r="158" spans="1:3" ht="30" hidden="1" customHeight="1" x14ac:dyDescent="0.2">
      <c r="A158" s="92" t="s">
        <v>321</v>
      </c>
      <c r="B158" s="104">
        <f>'INCREASE(DECREASE)'!U78</f>
        <v>0</v>
      </c>
      <c r="C158" s="91" t="s">
        <v>413</v>
      </c>
    </row>
    <row r="159" spans="1:3" ht="30" hidden="1" customHeight="1" x14ac:dyDescent="0.2">
      <c r="A159" s="92" t="s">
        <v>98</v>
      </c>
      <c r="B159" s="51">
        <f>SUBTOTAL(9,B156:B158)</f>
        <v>0</v>
      </c>
      <c r="C159" s="91"/>
    </row>
    <row r="160" spans="1:3" ht="30" hidden="1" customHeight="1" x14ac:dyDescent="0.2">
      <c r="A160" s="92"/>
      <c r="B160" s="1"/>
      <c r="C160" s="91"/>
    </row>
    <row r="161" spans="1:3" ht="30" hidden="1" customHeight="1" x14ac:dyDescent="0.2">
      <c r="A161" s="92" t="s">
        <v>179</v>
      </c>
      <c r="B161" s="1"/>
      <c r="C161" s="91"/>
    </row>
    <row r="162" spans="1:3" ht="30" hidden="1" customHeight="1" x14ac:dyDescent="0.2">
      <c r="A162" s="92" t="s">
        <v>319</v>
      </c>
      <c r="B162" s="104">
        <f>'INCREASE(DECREASE)'!U79</f>
        <v>0</v>
      </c>
      <c r="C162" s="91" t="s">
        <v>414</v>
      </c>
    </row>
    <row r="163" spans="1:3" ht="30" hidden="1" customHeight="1" x14ac:dyDescent="0.2">
      <c r="A163" s="92" t="s">
        <v>307</v>
      </c>
      <c r="B163" s="104">
        <f>'INCREASE(DECREASE)'!U80</f>
        <v>0</v>
      </c>
      <c r="C163" s="91" t="s">
        <v>415</v>
      </c>
    </row>
    <row r="164" spans="1:3" ht="30" hidden="1" customHeight="1" x14ac:dyDescent="0.2">
      <c r="A164" s="92" t="s">
        <v>308</v>
      </c>
      <c r="B164" s="104">
        <f>'INCREASE(DECREASE)'!U81</f>
        <v>0</v>
      </c>
      <c r="C164" s="91" t="s">
        <v>416</v>
      </c>
    </row>
    <row r="165" spans="1:3" ht="30" hidden="1" customHeight="1" x14ac:dyDescent="0.2">
      <c r="A165" s="92" t="s">
        <v>309</v>
      </c>
      <c r="B165" s="104">
        <f>'INCREASE(DECREASE)'!U82</f>
        <v>0</v>
      </c>
      <c r="C165" s="91" t="s">
        <v>433</v>
      </c>
    </row>
    <row r="166" spans="1:3" ht="30" hidden="1" customHeight="1" x14ac:dyDescent="0.2">
      <c r="A166" s="92" t="s">
        <v>310</v>
      </c>
      <c r="B166" s="104">
        <f>'INCREASE(DECREASE)'!U83</f>
        <v>0</v>
      </c>
      <c r="C166" s="91" t="s">
        <v>434</v>
      </c>
    </row>
    <row r="167" spans="1:3" ht="30" hidden="1" customHeight="1" x14ac:dyDescent="0.2">
      <c r="A167" s="92" t="s">
        <v>311</v>
      </c>
      <c r="B167" s="104">
        <f>'INCREASE(DECREASE)'!U84</f>
        <v>0</v>
      </c>
      <c r="C167" s="91" t="s">
        <v>444</v>
      </c>
    </row>
    <row r="168" spans="1:3" ht="30" hidden="1" customHeight="1" x14ac:dyDescent="0.2">
      <c r="A168" s="92" t="s">
        <v>312</v>
      </c>
      <c r="B168" s="104">
        <f>'INCREASE(DECREASE)'!U85</f>
        <v>0</v>
      </c>
      <c r="C168" s="91" t="s">
        <v>445</v>
      </c>
    </row>
    <row r="169" spans="1:3" ht="30" hidden="1" customHeight="1" x14ac:dyDescent="0.2">
      <c r="A169" s="92" t="s">
        <v>313</v>
      </c>
      <c r="B169" s="104">
        <f>'INCREASE(DECREASE)'!U86</f>
        <v>0</v>
      </c>
      <c r="C169" s="91" t="s">
        <v>435</v>
      </c>
    </row>
    <row r="170" spans="1:3" ht="30" hidden="1" customHeight="1" x14ac:dyDescent="0.2">
      <c r="A170" s="92" t="s">
        <v>314</v>
      </c>
      <c r="B170" s="104">
        <f>'INCREASE(DECREASE)'!U87</f>
        <v>0</v>
      </c>
      <c r="C170" s="91" t="s">
        <v>436</v>
      </c>
    </row>
    <row r="171" spans="1:3" ht="30" hidden="1" customHeight="1" x14ac:dyDescent="0.2">
      <c r="A171" s="92" t="s">
        <v>315</v>
      </c>
      <c r="B171" s="104">
        <f>'INCREASE(DECREASE)'!U88</f>
        <v>0</v>
      </c>
      <c r="C171" s="91" t="s">
        <v>447</v>
      </c>
    </row>
    <row r="172" spans="1:3" ht="30" hidden="1" customHeight="1" x14ac:dyDescent="0.2">
      <c r="A172" s="92" t="s">
        <v>482</v>
      </c>
      <c r="B172" s="104">
        <f>'INCREASE(DECREASE)'!U89</f>
        <v>0</v>
      </c>
      <c r="C172" s="91" t="s">
        <v>483</v>
      </c>
    </row>
    <row r="173" spans="1:3" ht="30" hidden="1" customHeight="1" x14ac:dyDescent="0.2">
      <c r="A173" s="92" t="s">
        <v>316</v>
      </c>
      <c r="B173" s="104">
        <f>'INCREASE(DECREASE)'!U90</f>
        <v>0</v>
      </c>
      <c r="C173" s="91" t="s">
        <v>446</v>
      </c>
    </row>
    <row r="174" spans="1:3" ht="30" hidden="1" customHeight="1" x14ac:dyDescent="0.2">
      <c r="A174" s="92" t="s">
        <v>484</v>
      </c>
      <c r="B174" s="104">
        <f>'INCREASE(DECREASE)'!U91</f>
        <v>0</v>
      </c>
      <c r="C174" s="91" t="s">
        <v>485</v>
      </c>
    </row>
    <row r="175" spans="1:3" ht="30" hidden="1" customHeight="1" x14ac:dyDescent="0.2">
      <c r="A175" s="92" t="s">
        <v>451</v>
      </c>
      <c r="B175" s="104">
        <f>'INCREASE(DECREASE)'!U92</f>
        <v>0</v>
      </c>
      <c r="C175" s="91" t="s">
        <v>452</v>
      </c>
    </row>
    <row r="176" spans="1:3" ht="30" hidden="1" customHeight="1" x14ac:dyDescent="0.2">
      <c r="A176" s="92" t="s">
        <v>389</v>
      </c>
      <c r="B176" s="104">
        <f>'INCREASE(DECREASE)'!U93</f>
        <v>0</v>
      </c>
      <c r="C176" s="91" t="s">
        <v>437</v>
      </c>
    </row>
    <row r="177" spans="1:3" ht="30" hidden="1" customHeight="1" x14ac:dyDescent="0.2">
      <c r="A177" s="92" t="s">
        <v>480</v>
      </c>
      <c r="B177" s="104">
        <f>'INCREASE(DECREASE)'!U94</f>
        <v>0</v>
      </c>
      <c r="C177" s="91" t="s">
        <v>481</v>
      </c>
    </row>
    <row r="178" spans="1:3" ht="30" hidden="1" customHeight="1" x14ac:dyDescent="0.2">
      <c r="A178" s="92" t="s">
        <v>328</v>
      </c>
      <c r="B178" s="104">
        <f>'INCREASE(DECREASE)'!U95</f>
        <v>0</v>
      </c>
      <c r="C178" s="91" t="s">
        <v>438</v>
      </c>
    </row>
    <row r="179" spans="1:3" ht="30" hidden="1" customHeight="1" x14ac:dyDescent="0.2">
      <c r="A179" s="92" t="s">
        <v>449</v>
      </c>
      <c r="B179" s="104">
        <f>'INCREASE(DECREASE)'!U96</f>
        <v>0</v>
      </c>
      <c r="C179" s="91" t="s">
        <v>450</v>
      </c>
    </row>
    <row r="180" spans="1:3" ht="30" hidden="1" customHeight="1" x14ac:dyDescent="0.2">
      <c r="A180" s="92" t="s">
        <v>317</v>
      </c>
      <c r="B180" s="104">
        <f>'INCREASE(DECREASE)'!U97</f>
        <v>0</v>
      </c>
      <c r="C180" s="91" t="s">
        <v>417</v>
      </c>
    </row>
    <row r="181" spans="1:3" ht="30" hidden="1" customHeight="1" x14ac:dyDescent="0.2">
      <c r="A181" s="92" t="s">
        <v>453</v>
      </c>
      <c r="B181" s="104">
        <f>'INCREASE(DECREASE)'!U98</f>
        <v>0</v>
      </c>
      <c r="C181" s="91" t="s">
        <v>454</v>
      </c>
    </row>
    <row r="182" spans="1:3" ht="30" hidden="1" customHeight="1" x14ac:dyDescent="0.2">
      <c r="A182" s="92" t="s">
        <v>318</v>
      </c>
      <c r="B182" s="104">
        <f>'INCREASE(DECREASE)'!U99</f>
        <v>0</v>
      </c>
      <c r="C182" s="91" t="s">
        <v>418</v>
      </c>
    </row>
    <row r="183" spans="1:3" ht="30" hidden="1" customHeight="1" x14ac:dyDescent="0.2">
      <c r="A183" s="92" t="s">
        <v>99</v>
      </c>
      <c r="B183" s="51">
        <f>SUBTOTAL(9,B161:B182)</f>
        <v>0</v>
      </c>
      <c r="C183" s="91"/>
    </row>
    <row r="184" spans="1:3" ht="30" hidden="1" customHeight="1" x14ac:dyDescent="0.2">
      <c r="A184" s="92"/>
      <c r="B184" s="1"/>
      <c r="C184" s="91"/>
    </row>
    <row r="185" spans="1:3" ht="30" customHeight="1" x14ac:dyDescent="0.2">
      <c r="A185" s="92" t="s">
        <v>181</v>
      </c>
      <c r="B185" s="1"/>
      <c r="C185" s="91"/>
    </row>
    <row r="186" spans="1:3" ht="30" customHeight="1" x14ac:dyDescent="0.2">
      <c r="A186" s="97" t="s">
        <v>515</v>
      </c>
      <c r="B186" s="1">
        <v>-5100</v>
      </c>
      <c r="C186" s="91" t="s">
        <v>421</v>
      </c>
    </row>
    <row r="187" spans="1:3" ht="30" customHeight="1" x14ac:dyDescent="0.2">
      <c r="A187" s="92" t="s">
        <v>215</v>
      </c>
      <c r="B187" s="1">
        <v>-9300</v>
      </c>
      <c r="C187" s="91" t="s">
        <v>421</v>
      </c>
    </row>
    <row r="188" spans="1:3" ht="30" hidden="1" customHeight="1" x14ac:dyDescent="0.2">
      <c r="A188" s="92" t="s">
        <v>216</v>
      </c>
      <c r="B188" s="1"/>
      <c r="C188" s="91" t="s">
        <v>421</v>
      </c>
    </row>
    <row r="189" spans="1:3" ht="30" hidden="1" customHeight="1" x14ac:dyDescent="0.2">
      <c r="A189" s="92" t="s">
        <v>77</v>
      </c>
      <c r="B189" s="1"/>
      <c r="C189" s="91" t="s">
        <v>421</v>
      </c>
    </row>
    <row r="190" spans="1:3" ht="30" hidden="1" customHeight="1" x14ac:dyDescent="0.2">
      <c r="A190" s="92" t="s">
        <v>160</v>
      </c>
      <c r="B190" s="1"/>
      <c r="C190" s="91" t="s">
        <v>421</v>
      </c>
    </row>
    <row r="191" spans="1:3" ht="30" hidden="1" customHeight="1" x14ac:dyDescent="0.2">
      <c r="A191" s="92" t="s">
        <v>214</v>
      </c>
      <c r="B191" s="1"/>
      <c r="C191" s="91" t="s">
        <v>421</v>
      </c>
    </row>
    <row r="192" spans="1:3" ht="30" hidden="1" customHeight="1" x14ac:dyDescent="0.2">
      <c r="A192" s="92" t="s">
        <v>138</v>
      </c>
      <c r="B192" s="1"/>
      <c r="C192" s="91" t="s">
        <v>421</v>
      </c>
    </row>
    <row r="193" spans="1:3" ht="30" hidden="1" customHeight="1" x14ac:dyDescent="0.2">
      <c r="A193" s="92" t="s">
        <v>69</v>
      </c>
      <c r="B193" s="1"/>
      <c r="C193" s="91" t="s">
        <v>421</v>
      </c>
    </row>
    <row r="194" spans="1:3" ht="30" hidden="1" customHeight="1" x14ac:dyDescent="0.2">
      <c r="A194" s="92" t="s">
        <v>227</v>
      </c>
      <c r="B194" s="1"/>
      <c r="C194" s="91" t="s">
        <v>421</v>
      </c>
    </row>
    <row r="195" spans="1:3" ht="30" hidden="1" customHeight="1" x14ac:dyDescent="0.2">
      <c r="A195" s="92" t="s">
        <v>76</v>
      </c>
      <c r="B195" s="1"/>
      <c r="C195" s="91" t="s">
        <v>421</v>
      </c>
    </row>
    <row r="196" spans="1:3" ht="30" hidden="1" customHeight="1" x14ac:dyDescent="0.2">
      <c r="A196" s="92" t="s">
        <v>67</v>
      </c>
      <c r="B196" s="1"/>
      <c r="C196" s="91" t="s">
        <v>421</v>
      </c>
    </row>
    <row r="197" spans="1:3" ht="30" hidden="1" customHeight="1" x14ac:dyDescent="0.2">
      <c r="A197" s="92" t="s">
        <v>75</v>
      </c>
      <c r="B197" s="1"/>
      <c r="C197" s="91" t="s">
        <v>421</v>
      </c>
    </row>
    <row r="198" spans="1:3" ht="30" customHeight="1" x14ac:dyDescent="0.2">
      <c r="A198" s="92" t="s">
        <v>208</v>
      </c>
      <c r="B198" s="1">
        <v>-4838.2700000000004</v>
      </c>
      <c r="C198" s="91" t="s">
        <v>421</v>
      </c>
    </row>
    <row r="199" spans="1:3" ht="30" hidden="1" customHeight="1" x14ac:dyDescent="0.2">
      <c r="A199" s="92" t="s">
        <v>342</v>
      </c>
      <c r="B199" s="1"/>
      <c r="C199" s="91" t="s">
        <v>421</v>
      </c>
    </row>
    <row r="200" spans="1:3" ht="30" hidden="1" customHeight="1" x14ac:dyDescent="0.2">
      <c r="A200" s="92" t="s">
        <v>448</v>
      </c>
      <c r="B200" s="1"/>
      <c r="C200" s="91" t="s">
        <v>421</v>
      </c>
    </row>
    <row r="201" spans="1:3" ht="30" hidden="1" customHeight="1" x14ac:dyDescent="0.2">
      <c r="A201" s="92" t="s">
        <v>211</v>
      </c>
      <c r="B201" s="1"/>
      <c r="C201" s="91" t="s">
        <v>421</v>
      </c>
    </row>
    <row r="202" spans="1:3" ht="30" hidden="1" customHeight="1" x14ac:dyDescent="0.2">
      <c r="A202" s="92" t="s">
        <v>251</v>
      </c>
      <c r="B202" s="1"/>
      <c r="C202" s="91" t="s">
        <v>421</v>
      </c>
    </row>
    <row r="203" spans="1:3" ht="30" hidden="1" customHeight="1" x14ac:dyDescent="0.2">
      <c r="A203" s="92" t="s">
        <v>73</v>
      </c>
      <c r="B203" s="1"/>
      <c r="C203" s="91" t="s">
        <v>421</v>
      </c>
    </row>
    <row r="204" spans="1:3" ht="30" customHeight="1" x14ac:dyDescent="0.2">
      <c r="A204" s="92" t="s">
        <v>158</v>
      </c>
      <c r="B204" s="1">
        <v>125</v>
      </c>
      <c r="C204" s="91" t="s">
        <v>421</v>
      </c>
    </row>
    <row r="205" spans="1:3" ht="30" customHeight="1" x14ac:dyDescent="0.2">
      <c r="A205" s="97" t="s">
        <v>544</v>
      </c>
      <c r="B205" s="1">
        <v>-1020</v>
      </c>
      <c r="C205" s="91" t="s">
        <v>421</v>
      </c>
    </row>
    <row r="206" spans="1:3" ht="30" customHeight="1" x14ac:dyDescent="0.2">
      <c r="A206" s="92" t="s">
        <v>70</v>
      </c>
      <c r="B206" s="1">
        <v>-21450</v>
      </c>
      <c r="C206" s="91" t="s">
        <v>421</v>
      </c>
    </row>
    <row r="207" spans="1:3" ht="30" hidden="1" customHeight="1" x14ac:dyDescent="0.2">
      <c r="A207" s="92" t="s">
        <v>159</v>
      </c>
      <c r="B207" s="1"/>
      <c r="C207" s="91" t="s">
        <v>421</v>
      </c>
    </row>
    <row r="208" spans="1:3" ht="30" customHeight="1" x14ac:dyDescent="0.2">
      <c r="A208" s="92" t="s">
        <v>448</v>
      </c>
      <c r="B208" s="1">
        <v>-700</v>
      </c>
      <c r="C208" s="91" t="s">
        <v>421</v>
      </c>
    </row>
    <row r="209" spans="1:3" ht="30" customHeight="1" x14ac:dyDescent="0.2">
      <c r="A209" s="92" t="s">
        <v>464</v>
      </c>
      <c r="B209" s="1">
        <v>-1440</v>
      </c>
      <c r="C209" s="91" t="s">
        <v>421</v>
      </c>
    </row>
    <row r="210" spans="1:3" ht="30" hidden="1" customHeight="1" x14ac:dyDescent="0.2">
      <c r="A210" s="92" t="s">
        <v>212</v>
      </c>
      <c r="B210" s="1"/>
      <c r="C210" s="91" t="s">
        <v>421</v>
      </c>
    </row>
    <row r="211" spans="1:3" ht="30" hidden="1" customHeight="1" x14ac:dyDescent="0.2">
      <c r="A211" s="92" t="s">
        <v>298</v>
      </c>
      <c r="B211" s="1"/>
      <c r="C211" s="91" t="s">
        <v>421</v>
      </c>
    </row>
    <row r="212" spans="1:3" ht="30" hidden="1" customHeight="1" x14ac:dyDescent="0.2">
      <c r="A212" s="92" t="s">
        <v>297</v>
      </c>
      <c r="B212" s="99"/>
      <c r="C212" s="91" t="s">
        <v>421</v>
      </c>
    </row>
    <row r="213" spans="1:3" ht="30" customHeight="1" x14ac:dyDescent="0.2">
      <c r="A213" s="92" t="s">
        <v>182</v>
      </c>
      <c r="B213" s="51">
        <f>SUBTOTAL(9,B185:B212)</f>
        <v>-43723.270000000004</v>
      </c>
      <c r="C213" s="91"/>
    </row>
    <row r="214" spans="1:3" ht="30" customHeight="1" x14ac:dyDescent="0.2">
      <c r="A214" s="92"/>
      <c r="B214" s="1"/>
      <c r="C214" s="91"/>
    </row>
    <row r="215" spans="1:3" ht="30" hidden="1" customHeight="1" x14ac:dyDescent="0.2">
      <c r="A215" s="92" t="s">
        <v>119</v>
      </c>
      <c r="B215" s="1"/>
      <c r="C215" s="91"/>
    </row>
    <row r="216" spans="1:3" ht="30" hidden="1" customHeight="1" x14ac:dyDescent="0.2">
      <c r="A216" s="92" t="s">
        <v>120</v>
      </c>
      <c r="B216" s="1"/>
      <c r="C216" s="91"/>
    </row>
    <row r="217" spans="1:3" ht="30" hidden="1" customHeight="1" x14ac:dyDescent="0.2">
      <c r="A217" s="92" t="s">
        <v>121</v>
      </c>
      <c r="B217" s="1"/>
      <c r="C217" s="91"/>
    </row>
    <row r="218" spans="1:3" ht="30" hidden="1" customHeight="1" x14ac:dyDescent="0.2">
      <c r="A218" s="92" t="s">
        <v>122</v>
      </c>
      <c r="B218" s="51">
        <f>SUBTOTAL(9,B215:B217)</f>
        <v>0</v>
      </c>
      <c r="C218" s="91"/>
    </row>
    <row r="219" spans="1:3" ht="30" hidden="1" customHeight="1" x14ac:dyDescent="0.2">
      <c r="A219" s="92"/>
      <c r="B219" s="1"/>
      <c r="C219" s="91"/>
    </row>
    <row r="220" spans="1:3" ht="30" hidden="1" customHeight="1" x14ac:dyDescent="0.2">
      <c r="A220" s="92" t="s">
        <v>56</v>
      </c>
      <c r="B220" s="88"/>
      <c r="C220" s="91"/>
    </row>
    <row r="221" spans="1:3" ht="30" hidden="1" customHeight="1" x14ac:dyDescent="0.2">
      <c r="A221" s="92" t="s">
        <v>226</v>
      </c>
      <c r="B221" s="1"/>
      <c r="C221" s="91"/>
    </row>
    <row r="222" spans="1:3" ht="30" hidden="1" customHeight="1" x14ac:dyDescent="0.2">
      <c r="A222" s="92" t="s">
        <v>231</v>
      </c>
      <c r="B222" s="1"/>
      <c r="C222" s="91"/>
    </row>
    <row r="223" spans="1:3" ht="30" hidden="1" customHeight="1" x14ac:dyDescent="0.2">
      <c r="A223" s="92" t="s">
        <v>343</v>
      </c>
      <c r="B223" s="1">
        <v>0</v>
      </c>
      <c r="C223" s="91" t="s">
        <v>411</v>
      </c>
    </row>
    <row r="224" spans="1:3" ht="30" hidden="1" customHeight="1" x14ac:dyDescent="0.2">
      <c r="A224" s="92" t="s">
        <v>57</v>
      </c>
      <c r="B224" s="51">
        <f>SUBTOTAL(9,B220:B223)</f>
        <v>0</v>
      </c>
      <c r="C224" s="91"/>
    </row>
    <row r="225" spans="1:3" ht="30" hidden="1" customHeight="1" x14ac:dyDescent="0.2">
      <c r="A225" s="92"/>
      <c r="B225" s="51"/>
      <c r="C225" s="91"/>
    </row>
    <row r="226" spans="1:3" ht="30" hidden="1" customHeight="1" x14ac:dyDescent="0.2">
      <c r="A226" s="92" t="s">
        <v>234</v>
      </c>
      <c r="B226" s="51"/>
      <c r="C226" s="91"/>
    </row>
    <row r="227" spans="1:3" ht="30" hidden="1" customHeight="1" x14ac:dyDescent="0.2">
      <c r="A227" s="92"/>
      <c r="B227" s="51"/>
      <c r="C227" s="91"/>
    </row>
    <row r="228" spans="1:3" ht="30" customHeight="1" x14ac:dyDescent="0.2">
      <c r="A228" s="92" t="s">
        <v>111</v>
      </c>
      <c r="B228" s="1"/>
      <c r="C228" s="91"/>
    </row>
    <row r="229" spans="1:3" ht="30" hidden="1" customHeight="1" x14ac:dyDescent="0.2">
      <c r="A229" s="92" t="s">
        <v>64</v>
      </c>
      <c r="B229" s="104">
        <f>'INCREASE(DECREASE)'!U101</f>
        <v>0</v>
      </c>
      <c r="C229" s="91"/>
    </row>
    <row r="230" spans="1:3" ht="30" customHeight="1" x14ac:dyDescent="0.2">
      <c r="A230" s="92" t="s">
        <v>215</v>
      </c>
      <c r="B230" s="104">
        <f>'INCREASE(DECREASE)'!U102</f>
        <v>45300</v>
      </c>
      <c r="C230" s="91" t="s">
        <v>598</v>
      </c>
    </row>
    <row r="231" spans="1:3" ht="30" hidden="1" customHeight="1" x14ac:dyDescent="0.2">
      <c r="A231" s="92" t="s">
        <v>110</v>
      </c>
      <c r="B231" s="104">
        <f>'INCREASE(DECREASE)'!U103</f>
        <v>0</v>
      </c>
      <c r="C231" s="91"/>
    </row>
    <row r="232" spans="1:3" ht="30" hidden="1" customHeight="1" x14ac:dyDescent="0.2">
      <c r="A232" s="92" t="s">
        <v>74</v>
      </c>
      <c r="B232" s="104">
        <f>'INCREASE(DECREASE)'!U104</f>
        <v>0</v>
      </c>
      <c r="C232" s="91"/>
    </row>
    <row r="233" spans="1:3" ht="30" hidden="1" customHeight="1" x14ac:dyDescent="0.2">
      <c r="A233" s="92" t="s">
        <v>83</v>
      </c>
      <c r="B233" s="104">
        <f>'INCREASE(DECREASE)'!U105</f>
        <v>0</v>
      </c>
      <c r="C233" s="91"/>
    </row>
    <row r="234" spans="1:3" ht="30" hidden="1" customHeight="1" x14ac:dyDescent="0.2">
      <c r="A234" s="92" t="s">
        <v>78</v>
      </c>
      <c r="B234" s="104">
        <f>'INCREASE(DECREASE)'!U106</f>
        <v>0</v>
      </c>
      <c r="C234" s="91"/>
    </row>
    <row r="235" spans="1:3" ht="30" hidden="1" customHeight="1" x14ac:dyDescent="0.2">
      <c r="A235" s="92" t="s">
        <v>197</v>
      </c>
      <c r="B235" s="104">
        <f>'INCREASE(DECREASE)'!U107</f>
        <v>0</v>
      </c>
      <c r="C235" s="91"/>
    </row>
    <row r="236" spans="1:3" ht="30" hidden="1" customHeight="1" x14ac:dyDescent="0.2">
      <c r="A236" s="92" t="s">
        <v>68</v>
      </c>
      <c r="B236" s="104">
        <f>'INCREASE(DECREASE)'!U108</f>
        <v>0</v>
      </c>
      <c r="C236" s="91"/>
    </row>
    <row r="237" spans="1:3" ht="30" hidden="1" customHeight="1" x14ac:dyDescent="0.2">
      <c r="A237" s="92" t="s">
        <v>155</v>
      </c>
      <c r="B237" s="104">
        <f>'INCREASE(DECREASE)'!U109</f>
        <v>0</v>
      </c>
      <c r="C237" s="91"/>
    </row>
    <row r="238" spans="1:3" ht="30" hidden="1" customHeight="1" x14ac:dyDescent="0.2">
      <c r="A238" s="92" t="s">
        <v>65</v>
      </c>
      <c r="B238" s="104">
        <f>'INCREASE(DECREASE)'!U110</f>
        <v>0</v>
      </c>
      <c r="C238" s="91"/>
    </row>
    <row r="239" spans="1:3" ht="30" hidden="1" customHeight="1" x14ac:dyDescent="0.2">
      <c r="A239" s="92" t="s">
        <v>176</v>
      </c>
      <c r="B239" s="104">
        <f>'INCREASE(DECREASE)'!U111</f>
        <v>0</v>
      </c>
      <c r="C239" s="91"/>
    </row>
    <row r="240" spans="1:3" ht="30" hidden="1" customHeight="1" x14ac:dyDescent="0.2">
      <c r="A240" s="92" t="s">
        <v>80</v>
      </c>
      <c r="B240" s="104">
        <f>'INCREASE(DECREASE)'!U112</f>
        <v>0</v>
      </c>
      <c r="C240" s="91"/>
    </row>
    <row r="241" spans="1:3" ht="30" hidden="1" customHeight="1" x14ac:dyDescent="0.2">
      <c r="A241" s="92" t="s">
        <v>69</v>
      </c>
      <c r="B241" s="104">
        <f>'INCREASE(DECREASE)'!U113</f>
        <v>0</v>
      </c>
      <c r="C241" s="91"/>
    </row>
    <row r="242" spans="1:3" ht="30" hidden="1" customHeight="1" x14ac:dyDescent="0.2">
      <c r="A242" s="92" t="s">
        <v>224</v>
      </c>
      <c r="B242" s="104">
        <f>'INCREASE(DECREASE)'!U114</f>
        <v>0</v>
      </c>
      <c r="C242" s="91"/>
    </row>
    <row r="243" spans="1:3" ht="30" customHeight="1" x14ac:dyDescent="0.2">
      <c r="A243" s="92" t="s">
        <v>188</v>
      </c>
      <c r="B243" s="104">
        <f>'INCREASE(DECREASE)'!U115</f>
        <v>320.8</v>
      </c>
      <c r="C243" s="91" t="s">
        <v>535</v>
      </c>
    </row>
    <row r="244" spans="1:3" ht="30" customHeight="1" x14ac:dyDescent="0.2">
      <c r="A244" s="92" t="s">
        <v>76</v>
      </c>
      <c r="B244" s="104">
        <f>'INCREASE(DECREASE)'!U116</f>
        <v>6330</v>
      </c>
      <c r="C244" s="91" t="s">
        <v>599</v>
      </c>
    </row>
    <row r="245" spans="1:3" ht="30" hidden="1" customHeight="1" x14ac:dyDescent="0.2">
      <c r="A245" s="92" t="s">
        <v>72</v>
      </c>
      <c r="B245" s="104">
        <f>'INCREASE(DECREASE)'!U117</f>
        <v>0</v>
      </c>
      <c r="C245" s="91"/>
    </row>
    <row r="246" spans="1:3" ht="30" hidden="1" customHeight="1" x14ac:dyDescent="0.2">
      <c r="A246" s="92" t="s">
        <v>104</v>
      </c>
      <c r="B246" s="104">
        <f>'INCREASE(DECREASE)'!U118</f>
        <v>0</v>
      </c>
      <c r="C246" s="91"/>
    </row>
    <row r="247" spans="1:3" ht="30" customHeight="1" x14ac:dyDescent="0.2">
      <c r="A247" s="92" t="s">
        <v>67</v>
      </c>
      <c r="B247" s="104">
        <f>'INCREASE(DECREASE)'!U119</f>
        <v>17767.86</v>
      </c>
      <c r="C247" s="91" t="s">
        <v>600</v>
      </c>
    </row>
    <row r="248" spans="1:3" ht="30" customHeight="1" x14ac:dyDescent="0.2">
      <c r="A248" s="92" t="s">
        <v>75</v>
      </c>
      <c r="B248" s="104">
        <f>'INCREASE(DECREASE)'!U120</f>
        <v>1906.97</v>
      </c>
      <c r="C248" s="91" t="s">
        <v>535</v>
      </c>
    </row>
    <row r="249" spans="1:3" ht="30" hidden="1" customHeight="1" x14ac:dyDescent="0.2">
      <c r="A249" s="92" t="s">
        <v>71</v>
      </c>
      <c r="B249" s="104">
        <f>'INCREASE(DECREASE)'!U121</f>
        <v>0</v>
      </c>
      <c r="C249" s="91"/>
    </row>
    <row r="250" spans="1:3" ht="30" hidden="1" customHeight="1" x14ac:dyDescent="0.2">
      <c r="A250" s="92" t="s">
        <v>208</v>
      </c>
      <c r="B250" s="104">
        <f>'INCREASE(DECREASE)'!U122</f>
        <v>0</v>
      </c>
      <c r="C250" s="91"/>
    </row>
    <row r="251" spans="1:3" ht="30" customHeight="1" x14ac:dyDescent="0.2">
      <c r="A251" s="92" t="s">
        <v>342</v>
      </c>
      <c r="B251" s="104">
        <f>'INCREASE(DECREASE)'!U123</f>
        <v>678.22</v>
      </c>
      <c r="C251" s="91" t="s">
        <v>601</v>
      </c>
    </row>
    <row r="252" spans="1:3" ht="30" hidden="1" customHeight="1" x14ac:dyDescent="0.2">
      <c r="A252" s="92" t="s">
        <v>448</v>
      </c>
      <c r="B252" s="104">
        <f>'INCREASE(DECREASE)'!U124</f>
        <v>0</v>
      </c>
      <c r="C252" s="91"/>
    </row>
    <row r="253" spans="1:3" ht="30" customHeight="1" x14ac:dyDescent="0.2">
      <c r="A253" s="92" t="s">
        <v>213</v>
      </c>
      <c r="B253" s="104">
        <f>'INCREASE(DECREASE)'!U125</f>
        <v>3000</v>
      </c>
      <c r="C253" s="91" t="s">
        <v>602</v>
      </c>
    </row>
    <row r="254" spans="1:3" ht="30" customHeight="1" x14ac:dyDescent="0.2">
      <c r="A254" s="92" t="s">
        <v>211</v>
      </c>
      <c r="B254" s="104">
        <f>'INCREASE(DECREASE)'!U126</f>
        <v>370</v>
      </c>
      <c r="C254" s="91" t="s">
        <v>602</v>
      </c>
    </row>
    <row r="255" spans="1:3" ht="30" hidden="1" customHeight="1" x14ac:dyDescent="0.2">
      <c r="A255" s="92" t="s">
        <v>73</v>
      </c>
      <c r="B255" s="104">
        <f>'INCREASE(DECREASE)'!U127</f>
        <v>0</v>
      </c>
      <c r="C255" s="91"/>
    </row>
    <row r="256" spans="1:3" ht="30" customHeight="1" x14ac:dyDescent="0.2">
      <c r="A256" s="92" t="s">
        <v>81</v>
      </c>
      <c r="B256" s="104">
        <f>'INCREASE(DECREASE)'!U128</f>
        <v>700</v>
      </c>
      <c r="C256" s="91" t="s">
        <v>603</v>
      </c>
    </row>
    <row r="257" spans="1:3" ht="30" hidden="1" customHeight="1" x14ac:dyDescent="0.2">
      <c r="A257" s="92" t="s">
        <v>102</v>
      </c>
      <c r="B257" s="104">
        <f>'INCREASE(DECREASE)'!U129</f>
        <v>0</v>
      </c>
      <c r="C257" s="91"/>
    </row>
    <row r="258" spans="1:3" ht="30" hidden="1" customHeight="1" x14ac:dyDescent="0.2">
      <c r="A258" s="92" t="s">
        <v>82</v>
      </c>
      <c r="B258" s="104">
        <f>'INCREASE(DECREASE)'!U130</f>
        <v>0</v>
      </c>
      <c r="C258" s="91"/>
    </row>
    <row r="259" spans="1:3" ht="30" hidden="1" customHeight="1" x14ac:dyDescent="0.2">
      <c r="A259" s="92" t="s">
        <v>136</v>
      </c>
      <c r="B259" s="104">
        <f>'INCREASE(DECREASE)'!U131</f>
        <v>0</v>
      </c>
      <c r="C259" s="91"/>
    </row>
    <row r="260" spans="1:3" ht="30" hidden="1" customHeight="1" x14ac:dyDescent="0.2">
      <c r="A260" s="92" t="s">
        <v>70</v>
      </c>
      <c r="B260" s="104">
        <f>'INCREASE(DECREASE)'!U132</f>
        <v>0</v>
      </c>
      <c r="C260" s="91"/>
    </row>
    <row r="261" spans="1:3" ht="30" hidden="1" customHeight="1" x14ac:dyDescent="0.2">
      <c r="A261" s="92" t="s">
        <v>198</v>
      </c>
      <c r="B261" s="104">
        <f>'INCREASE(DECREASE)'!U133</f>
        <v>0</v>
      </c>
      <c r="C261" s="91"/>
    </row>
    <row r="262" spans="1:3" ht="30" hidden="1" customHeight="1" x14ac:dyDescent="0.2">
      <c r="A262" s="92" t="s">
        <v>516</v>
      </c>
      <c r="B262" s="104">
        <f>'INCREASE(DECREASE)'!U134</f>
        <v>0</v>
      </c>
      <c r="C262" s="91"/>
    </row>
    <row r="263" spans="1:3" ht="30" hidden="1" customHeight="1" x14ac:dyDescent="0.2">
      <c r="A263" s="92" t="s">
        <v>464</v>
      </c>
      <c r="B263" s="104">
        <f>'INCREASE(DECREASE)'!U135</f>
        <v>0</v>
      </c>
      <c r="C263" s="91"/>
    </row>
    <row r="264" spans="1:3" ht="30" hidden="1" customHeight="1" x14ac:dyDescent="0.2">
      <c r="A264" s="92" t="s">
        <v>212</v>
      </c>
      <c r="B264" s="104">
        <f>'INCREASE(DECREASE)'!U136</f>
        <v>0</v>
      </c>
      <c r="C264" s="91"/>
    </row>
    <row r="265" spans="1:3" ht="30" hidden="1" customHeight="1" x14ac:dyDescent="0.2">
      <c r="A265" s="92" t="s">
        <v>105</v>
      </c>
      <c r="B265" s="104">
        <f>'INCREASE(DECREASE)'!U137</f>
        <v>0</v>
      </c>
      <c r="C265" s="91"/>
    </row>
    <row r="266" spans="1:3" ht="30" hidden="1" customHeight="1" x14ac:dyDescent="0.2">
      <c r="A266" s="92" t="s">
        <v>156</v>
      </c>
      <c r="B266" s="104">
        <f>'INCREASE(DECREASE)'!U138</f>
        <v>0</v>
      </c>
      <c r="C266" s="91"/>
    </row>
    <row r="267" spans="1:3" ht="30" hidden="1" customHeight="1" x14ac:dyDescent="0.2">
      <c r="A267" s="92" t="s">
        <v>577</v>
      </c>
      <c r="B267" s="104">
        <f>'INCREASE(DECREASE)'!U139</f>
        <v>0</v>
      </c>
      <c r="C267" s="91"/>
    </row>
    <row r="268" spans="1:3" ht="30" hidden="1" customHeight="1" x14ac:dyDescent="0.2">
      <c r="A268" s="92" t="s">
        <v>346</v>
      </c>
      <c r="B268" s="104">
        <f>'INCREASE(DECREASE)'!U140</f>
        <v>0</v>
      </c>
      <c r="C268" s="107"/>
    </row>
    <row r="269" spans="1:3" ht="30" customHeight="1" x14ac:dyDescent="0.2">
      <c r="A269" s="92" t="s">
        <v>463</v>
      </c>
      <c r="B269" s="104">
        <f>'INCREASE(DECREASE)'!U141</f>
        <v>160</v>
      </c>
      <c r="C269" s="91" t="s">
        <v>578</v>
      </c>
    </row>
    <row r="270" spans="1:3" ht="30" hidden="1" customHeight="1" x14ac:dyDescent="0.2">
      <c r="A270" s="92" t="s">
        <v>344</v>
      </c>
      <c r="B270" s="104">
        <f>'INCREASE(DECREASE)'!U142</f>
        <v>0</v>
      </c>
      <c r="C270" s="91"/>
    </row>
    <row r="271" spans="1:3" ht="30" hidden="1" customHeight="1" x14ac:dyDescent="0.2">
      <c r="A271" s="92" t="s">
        <v>519</v>
      </c>
      <c r="B271" s="104">
        <f>'INCREASE(DECREASE)'!U143</f>
        <v>0</v>
      </c>
      <c r="C271" s="91"/>
    </row>
    <row r="272" spans="1:3" s="101" customFormat="1" ht="30" customHeight="1" x14ac:dyDescent="0.2">
      <c r="A272" s="92" t="s">
        <v>345</v>
      </c>
      <c r="B272" s="104">
        <f>'INCREASE(DECREASE)'!U144</f>
        <v>150</v>
      </c>
      <c r="C272" s="107" t="s">
        <v>536</v>
      </c>
    </row>
    <row r="273" spans="1:3" s="101" customFormat="1" ht="30" hidden="1" customHeight="1" x14ac:dyDescent="0.2">
      <c r="A273" s="92" t="s">
        <v>470</v>
      </c>
      <c r="B273" s="104">
        <f>'INCREASE(DECREASE)'!U145</f>
        <v>0</v>
      </c>
      <c r="C273" s="91" t="s">
        <v>537</v>
      </c>
    </row>
    <row r="274" spans="1:3" ht="30" customHeight="1" x14ac:dyDescent="0.2">
      <c r="A274" s="92" t="s">
        <v>500</v>
      </c>
      <c r="B274" s="104">
        <f>'INCREASE(DECREASE)'!U146</f>
        <v>4070</v>
      </c>
      <c r="C274" s="107" t="s">
        <v>538</v>
      </c>
    </row>
    <row r="275" spans="1:3" ht="30" customHeight="1" x14ac:dyDescent="0.2">
      <c r="A275" s="92" t="s">
        <v>164</v>
      </c>
      <c r="B275" s="51">
        <f>SUBTOTAL(9,B229:B274)</f>
        <v>80753.850000000006</v>
      </c>
      <c r="C275" s="91"/>
    </row>
    <row r="276" spans="1:3" ht="30" hidden="1" customHeight="1" x14ac:dyDescent="0.2">
      <c r="A276" s="92"/>
      <c r="B276" s="51"/>
      <c r="C276" s="91"/>
    </row>
    <row r="277" spans="1:3" ht="30" hidden="1" customHeight="1" x14ac:dyDescent="0.2">
      <c r="A277" s="92" t="s">
        <v>123</v>
      </c>
      <c r="B277" s="51"/>
      <c r="C277" s="91"/>
    </row>
    <row r="278" spans="1:3" ht="30" hidden="1" customHeight="1" x14ac:dyDescent="0.2">
      <c r="A278" s="92"/>
      <c r="B278" s="51"/>
      <c r="C278" s="91"/>
    </row>
    <row r="279" spans="1:3" ht="30" hidden="1" customHeight="1" x14ac:dyDescent="0.2">
      <c r="A279" s="92" t="s">
        <v>49</v>
      </c>
      <c r="B279" s="51"/>
      <c r="C279" s="91"/>
    </row>
    <row r="280" spans="1:3" ht="30" hidden="1" customHeight="1" x14ac:dyDescent="0.2">
      <c r="A280" s="92" t="s">
        <v>175</v>
      </c>
      <c r="B280" s="1"/>
      <c r="C280" s="91"/>
    </row>
    <row r="281" spans="1:3" ht="30" hidden="1" customHeight="1" x14ac:dyDescent="0.2">
      <c r="A281" s="92" t="s">
        <v>50</v>
      </c>
      <c r="B281" s="51">
        <f>SUBTOTAL(9,B280)</f>
        <v>0</v>
      </c>
      <c r="C281" s="91"/>
    </row>
    <row r="282" spans="1:3" ht="30" hidden="1" customHeight="1" x14ac:dyDescent="0.2">
      <c r="A282" s="92"/>
      <c r="B282" s="51"/>
      <c r="C282" s="91"/>
    </row>
    <row r="283" spans="1:3" ht="30" hidden="1" customHeight="1" x14ac:dyDescent="0.2">
      <c r="A283" s="92" t="s">
        <v>232</v>
      </c>
      <c r="B283" s="51"/>
      <c r="C283" s="91"/>
    </row>
    <row r="284" spans="1:3" ht="30" hidden="1" customHeight="1" x14ac:dyDescent="0.2">
      <c r="A284" s="92"/>
      <c r="B284" s="51"/>
      <c r="C284" s="91"/>
    </row>
    <row r="285" spans="1:3" ht="30" hidden="1" customHeight="1" x14ac:dyDescent="0.2">
      <c r="A285" s="92" t="s">
        <v>157</v>
      </c>
      <c r="B285" s="51"/>
      <c r="C285" s="91" t="s">
        <v>545</v>
      </c>
    </row>
    <row r="286" spans="1:3" ht="30" hidden="1" customHeight="1" x14ac:dyDescent="0.2">
      <c r="A286" s="92"/>
      <c r="B286" s="51"/>
      <c r="C286" s="91"/>
    </row>
    <row r="287" spans="1:3" ht="30" hidden="1" customHeight="1" x14ac:dyDescent="0.2">
      <c r="A287" s="92" t="s">
        <v>202</v>
      </c>
      <c r="B287" s="51"/>
      <c r="C287" s="91" t="s">
        <v>443</v>
      </c>
    </row>
    <row r="288" spans="1:3" ht="30" hidden="1" customHeight="1" x14ac:dyDescent="0.2">
      <c r="A288" s="92"/>
      <c r="B288" s="51"/>
      <c r="C288" s="91"/>
    </row>
    <row r="289" spans="1:3" ht="30" hidden="1" customHeight="1" x14ac:dyDescent="0.2">
      <c r="A289" s="92" t="s">
        <v>391</v>
      </c>
      <c r="B289" s="51"/>
      <c r="C289" s="91" t="s">
        <v>443</v>
      </c>
    </row>
    <row r="290" spans="1:3" ht="30" hidden="1" customHeight="1" x14ac:dyDescent="0.2">
      <c r="A290" s="92"/>
      <c r="B290" s="51"/>
      <c r="C290" s="91"/>
    </row>
    <row r="291" spans="1:3" ht="30" hidden="1" customHeight="1" x14ac:dyDescent="0.2">
      <c r="A291" s="92" t="s">
        <v>59</v>
      </c>
      <c r="B291" s="51"/>
      <c r="C291" s="91"/>
    </row>
    <row r="292" spans="1:3" ht="30" hidden="1" customHeight="1" x14ac:dyDescent="0.2">
      <c r="A292" s="92" t="s">
        <v>195</v>
      </c>
      <c r="B292" s="1"/>
      <c r="C292" s="91"/>
    </row>
    <row r="293" spans="1:3" ht="30" hidden="1" customHeight="1" x14ac:dyDescent="0.2">
      <c r="A293" s="92" t="s">
        <v>85</v>
      </c>
      <c r="B293" s="1"/>
      <c r="C293" s="91"/>
    </row>
    <row r="294" spans="1:3" ht="30" hidden="1" customHeight="1" x14ac:dyDescent="0.2">
      <c r="A294" s="92" t="s">
        <v>60</v>
      </c>
      <c r="B294" s="51">
        <f>SUBTOTAL(9,B291:B293)</f>
        <v>0</v>
      </c>
      <c r="C294" s="91"/>
    </row>
    <row r="295" spans="1:3" ht="30" hidden="1" customHeight="1" x14ac:dyDescent="0.2">
      <c r="A295" s="92"/>
      <c r="B295" s="51"/>
      <c r="C295" s="91"/>
    </row>
    <row r="296" spans="1:3" ht="30" hidden="1" customHeight="1" x14ac:dyDescent="0.2">
      <c r="A296" s="92" t="s">
        <v>100</v>
      </c>
      <c r="B296" s="51"/>
      <c r="C296" s="91"/>
    </row>
    <row r="297" spans="1:3" ht="30" hidden="1" customHeight="1" x14ac:dyDescent="0.2">
      <c r="A297" s="92" t="s">
        <v>84</v>
      </c>
      <c r="B297" s="1"/>
      <c r="C297" s="91"/>
    </row>
    <row r="298" spans="1:3" ht="30" hidden="1" customHeight="1" x14ac:dyDescent="0.2">
      <c r="A298" s="92" t="s">
        <v>85</v>
      </c>
      <c r="B298" s="1"/>
      <c r="C298" s="91"/>
    </row>
    <row r="299" spans="1:3" ht="30" hidden="1" customHeight="1" x14ac:dyDescent="0.2">
      <c r="A299" s="92" t="s">
        <v>101</v>
      </c>
      <c r="B299" s="51">
        <f>SUBTOTAL(9,B296:B298)</f>
        <v>0</v>
      </c>
      <c r="C299" s="91"/>
    </row>
    <row r="300" spans="1:3" ht="30" hidden="1" customHeight="1" x14ac:dyDescent="0.2">
      <c r="B300" s="51"/>
      <c r="C300" s="91"/>
    </row>
    <row r="301" spans="1:3" ht="30" hidden="1" customHeight="1" x14ac:dyDescent="0.2">
      <c r="A301" s="92" t="s">
        <v>233</v>
      </c>
      <c r="B301" s="51"/>
      <c r="C301" s="91"/>
    </row>
    <row r="302" spans="1:3" ht="30" customHeight="1" x14ac:dyDescent="0.2">
      <c r="A302" s="92"/>
      <c r="B302" s="1"/>
      <c r="C302" s="91"/>
    </row>
    <row r="303" spans="1:3" ht="30" customHeight="1" x14ac:dyDescent="0.2">
      <c r="A303" s="89" t="s">
        <v>539</v>
      </c>
      <c r="B303" s="93">
        <f>SUBTOTAL(9,B56:B302)</f>
        <v>151336.82</v>
      </c>
      <c r="C303" s="91"/>
    </row>
    <row r="304" spans="1:3" ht="30" customHeight="1" x14ac:dyDescent="0.2">
      <c r="A304" s="89"/>
      <c r="B304" s="93"/>
      <c r="C304" s="91"/>
    </row>
    <row r="305" spans="1:3" ht="30" customHeight="1" x14ac:dyDescent="0.2">
      <c r="A305" s="89" t="s">
        <v>27</v>
      </c>
      <c r="B305" s="93">
        <f>SUBTOTAL(9,B2:B304)</f>
        <v>152883.82</v>
      </c>
      <c r="C305" s="91"/>
    </row>
    <row r="306" spans="1:3" ht="30" hidden="1" customHeight="1" x14ac:dyDescent="0.2">
      <c r="A306" s="156"/>
      <c r="B306" s="157"/>
      <c r="C306" s="158"/>
    </row>
    <row r="307" spans="1:3" ht="30" hidden="1" customHeight="1" x14ac:dyDescent="0.2">
      <c r="A307" s="89" t="s">
        <v>299</v>
      </c>
      <c r="B307" s="90"/>
      <c r="C307" s="91"/>
    </row>
    <row r="308" spans="1:3" ht="30" hidden="1" customHeight="1" x14ac:dyDescent="0.2">
      <c r="A308" s="89" t="s">
        <v>300</v>
      </c>
      <c r="B308" s="90"/>
      <c r="C308" s="91"/>
    </row>
    <row r="309" spans="1:3" ht="30" hidden="1" customHeight="1" x14ac:dyDescent="0.2">
      <c r="A309" s="89" t="s">
        <v>301</v>
      </c>
      <c r="B309" s="90"/>
      <c r="C309" s="91"/>
    </row>
    <row r="310" spans="1:3" ht="30" hidden="1" customHeight="1" x14ac:dyDescent="0.2">
      <c r="A310" s="89" t="s">
        <v>302</v>
      </c>
      <c r="B310" s="90"/>
      <c r="C310" s="102"/>
    </row>
    <row r="311" spans="1:3" ht="30" hidden="1" customHeight="1" x14ac:dyDescent="0.2">
      <c r="A311" s="89" t="s">
        <v>303</v>
      </c>
      <c r="B311" s="90"/>
      <c r="C311" s="102"/>
    </row>
    <row r="312" spans="1:3" ht="30" hidden="1" customHeight="1" x14ac:dyDescent="0.2">
      <c r="A312" s="89" t="s">
        <v>244</v>
      </c>
      <c r="B312" s="93">
        <f>SUBTOTAL(9,B307:B311)</f>
        <v>0</v>
      </c>
      <c r="C312" s="102"/>
    </row>
    <row r="313" spans="1:3" ht="30" hidden="1" customHeight="1" x14ac:dyDescent="0.2">
      <c r="A313" s="89"/>
      <c r="B313" s="93"/>
      <c r="C313" s="102"/>
    </row>
    <row r="314" spans="1:3" ht="30" customHeight="1" x14ac:dyDescent="0.2">
      <c r="A314" s="89" t="s">
        <v>498</v>
      </c>
      <c r="B314" s="93">
        <f>B305+B312</f>
        <v>152883.82</v>
      </c>
      <c r="C314" s="102"/>
    </row>
    <row r="319" spans="1:3" ht="30" customHeight="1" x14ac:dyDescent="0.2">
      <c r="A319" s="103"/>
    </row>
  </sheetData>
  <autoFilter ref="A1:C311"/>
  <mergeCells count="1">
    <mergeCell ref="A306:C306"/>
  </mergeCells>
  <printOptions horizontalCentered="1"/>
  <pageMargins left="0.7" right="0.7" top="0.75" bottom="0.75" header="0.3" footer="0.3"/>
  <pageSetup scale="57" firstPageNumber="4" fitToHeight="2" orientation="portrait" r:id="rId1"/>
  <headerFooter scaleWithDoc="0">
    <oddHeader>&amp;C&amp;F
&amp;A</oddHeader>
    <oddFooter>&amp;L&amp;8&amp;Z&amp;F</oddFooter>
  </headerFooter>
  <rowBreaks count="2" manualBreakCount="2">
    <brk id="159" max="16383" man="1"/>
    <brk id="21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W216"/>
  <sheetViews>
    <sheetView zoomScale="75" zoomScaleNormal="75" workbookViewId="0">
      <pane ySplit="1" topLeftCell="A2" activePane="bottomLeft" state="frozen"/>
      <selection activeCell="J131" sqref="J131"/>
      <selection pane="bottomLeft" activeCell="A2" sqref="A2"/>
    </sheetView>
  </sheetViews>
  <sheetFormatPr defaultColWidth="9.140625" defaultRowHeight="18" x14ac:dyDescent="0.25"/>
  <cols>
    <col min="1" max="1" width="74.5703125" style="71" bestFit="1" customWidth="1"/>
    <col min="2" max="2" width="22.28515625" style="72" customWidth="1"/>
    <col min="3" max="3" width="19.5703125" style="72" hidden="1" customWidth="1"/>
    <col min="4" max="4" width="17.85546875" style="72" customWidth="1"/>
    <col min="5" max="5" width="19.5703125" style="72" hidden="1" customWidth="1"/>
    <col min="6" max="7" width="17.85546875" style="72" customWidth="1"/>
    <col min="8" max="8" width="15.85546875" style="72" hidden="1" customWidth="1"/>
    <col min="9" max="9" width="17.85546875" style="72" hidden="1" customWidth="1"/>
    <col min="10" max="11" width="19.5703125" style="72" customWidth="1"/>
    <col min="12" max="12" width="15.85546875" style="72" hidden="1" customWidth="1"/>
    <col min="13" max="13" width="14.5703125" style="72" hidden="1" customWidth="1"/>
    <col min="14" max="14" width="17.85546875" style="72" hidden="1" customWidth="1"/>
    <col min="15" max="15" width="19.5703125" style="72" bestFit="1" customWidth="1"/>
    <col min="16" max="16" width="19.140625" style="72" customWidth="1"/>
    <col min="17" max="17" width="15.85546875" style="72" hidden="1" customWidth="1"/>
    <col min="18" max="18" width="22.28515625" style="72" bestFit="1" customWidth="1"/>
    <col min="19" max="20" width="15.85546875" style="72" hidden="1" customWidth="1"/>
    <col min="21" max="21" width="33.85546875" style="72" bestFit="1" customWidth="1"/>
    <col min="22" max="22" width="22.28515625" style="72" bestFit="1" customWidth="1"/>
    <col min="23" max="23" width="20.85546875" style="74" bestFit="1" customWidth="1"/>
    <col min="24" max="16384" width="9.140625" style="74"/>
  </cols>
  <sheetData>
    <row r="1" spans="1:22" s="66" customFormat="1" x14ac:dyDescent="0.25">
      <c r="A1" s="65" t="s">
        <v>258</v>
      </c>
      <c r="B1" s="66" t="s">
        <v>259</v>
      </c>
      <c r="C1" s="66">
        <v>6100</v>
      </c>
      <c r="D1" s="66">
        <v>6200</v>
      </c>
      <c r="E1" s="66">
        <v>6300</v>
      </c>
      <c r="F1" s="66">
        <v>6400</v>
      </c>
      <c r="G1" s="66" t="s">
        <v>262</v>
      </c>
      <c r="H1" s="66">
        <v>7100</v>
      </c>
      <c r="I1" s="66">
        <v>7200</v>
      </c>
      <c r="J1" s="66">
        <v>7300</v>
      </c>
      <c r="K1" s="66" t="s">
        <v>260</v>
      </c>
      <c r="L1" s="66" t="s">
        <v>265</v>
      </c>
      <c r="M1" s="66" t="s">
        <v>261</v>
      </c>
      <c r="N1" s="66">
        <v>7800</v>
      </c>
      <c r="O1" s="66">
        <v>7900</v>
      </c>
      <c r="P1" s="66">
        <v>8100</v>
      </c>
      <c r="Q1" s="66" t="s">
        <v>263</v>
      </c>
      <c r="R1" s="66">
        <v>9100</v>
      </c>
      <c r="S1" s="66" t="s">
        <v>268</v>
      </c>
      <c r="T1" s="66" t="s">
        <v>269</v>
      </c>
      <c r="U1" s="66" t="s">
        <v>355</v>
      </c>
      <c r="V1" s="67" t="s">
        <v>509</v>
      </c>
    </row>
    <row r="2" spans="1:22" s="66" customFormat="1" x14ac:dyDescent="0.25">
      <c r="A2" s="68" t="s">
        <v>356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70">
        <f>SUM(U3:U38)</f>
        <v>100473.53000000001</v>
      </c>
    </row>
    <row r="3" spans="1:22" hidden="1" x14ac:dyDescent="0.25">
      <c r="A3" s="71" t="s">
        <v>357</v>
      </c>
      <c r="O3" s="73"/>
      <c r="U3" s="72">
        <f t="shared" ref="U3:U38" si="0">SUM(B3:T3)</f>
        <v>0</v>
      </c>
    </row>
    <row r="4" spans="1:22" x14ac:dyDescent="0.25">
      <c r="A4" s="110" t="s">
        <v>358</v>
      </c>
      <c r="J4" s="72">
        <f>3760+3760+188</f>
        <v>7708</v>
      </c>
      <c r="O4" s="72">
        <f>240+240+12</f>
        <v>492</v>
      </c>
      <c r="U4" s="72">
        <f t="shared" si="0"/>
        <v>8200</v>
      </c>
    </row>
    <row r="5" spans="1:22" x14ac:dyDescent="0.25">
      <c r="A5" s="110" t="s">
        <v>369</v>
      </c>
      <c r="B5" s="72">
        <v>231.24</v>
      </c>
      <c r="O5" s="72">
        <v>14.76</v>
      </c>
      <c r="U5" s="72">
        <f t="shared" si="0"/>
        <v>246</v>
      </c>
    </row>
    <row r="6" spans="1:22" x14ac:dyDescent="0.25">
      <c r="A6" s="110" t="s">
        <v>370</v>
      </c>
      <c r="B6" s="72">
        <f>200.22+172.58+393.11+733.2+180.48</f>
        <v>1679.5900000000001</v>
      </c>
      <c r="O6" s="73">
        <f>12.78+11.02+25.09+46.8+11.52</f>
        <v>107.21</v>
      </c>
      <c r="U6" s="73">
        <f t="shared" si="0"/>
        <v>1786.8000000000002</v>
      </c>
    </row>
    <row r="7" spans="1:22" x14ac:dyDescent="0.25">
      <c r="A7" s="110" t="s">
        <v>371</v>
      </c>
      <c r="J7" s="72">
        <v>2213.6999999999998</v>
      </c>
      <c r="O7" s="73">
        <f>141.3+43.82+110.76</f>
        <v>295.88</v>
      </c>
      <c r="R7" s="72">
        <f>686.58+1735.22</f>
        <v>2421.8000000000002</v>
      </c>
      <c r="U7" s="72">
        <f t="shared" si="0"/>
        <v>4931.38</v>
      </c>
    </row>
    <row r="8" spans="1:22" x14ac:dyDescent="0.25">
      <c r="A8" s="110" t="s">
        <v>359</v>
      </c>
      <c r="B8" s="72">
        <v>1992.8</v>
      </c>
      <c r="O8" s="73">
        <v>127.2</v>
      </c>
      <c r="U8" s="72">
        <f t="shared" si="0"/>
        <v>2120</v>
      </c>
    </row>
    <row r="9" spans="1:22" x14ac:dyDescent="0.25">
      <c r="A9" s="71" t="s">
        <v>372</v>
      </c>
      <c r="B9" s="72">
        <v>3281.92</v>
      </c>
      <c r="O9" s="72">
        <v>209.48</v>
      </c>
      <c r="U9" s="72">
        <f t="shared" si="0"/>
        <v>3491.4</v>
      </c>
    </row>
    <row r="10" spans="1:22" x14ac:dyDescent="0.25">
      <c r="A10" s="110" t="s">
        <v>373</v>
      </c>
      <c r="B10" s="72">
        <f>865.48+910.23+739.56+236.88+572.46</f>
        <v>3324.61</v>
      </c>
      <c r="O10" s="73">
        <f>55.24+58.09+47.2+15.12+36.54</f>
        <v>212.19000000000003</v>
      </c>
      <c r="U10" s="72">
        <f t="shared" si="0"/>
        <v>3536.8</v>
      </c>
    </row>
    <row r="11" spans="1:22" x14ac:dyDescent="0.25">
      <c r="A11" s="110" t="s">
        <v>360</v>
      </c>
      <c r="B11" s="72">
        <f>1353.6+1353.6+284.44+159.8</f>
        <v>3151.44</v>
      </c>
      <c r="O11" s="73">
        <f>86.4+86.4+18.16+10.2+15.12+2.88</f>
        <v>219.16</v>
      </c>
      <c r="R11" s="72">
        <f>236.88+45.12</f>
        <v>282</v>
      </c>
      <c r="U11" s="72">
        <f t="shared" si="0"/>
        <v>3652.6</v>
      </c>
    </row>
    <row r="12" spans="1:22" x14ac:dyDescent="0.25">
      <c r="A12" s="110" t="s">
        <v>361</v>
      </c>
      <c r="B12" s="72">
        <f>454.96+695.6+272.6+262.07+291.16+379.68+108.1+85.73+139.12+279.18</f>
        <v>2968.1999999999994</v>
      </c>
      <c r="O12" s="73">
        <f>29.04+44.4+17.4+16.73+18.58+24.24+6.9+5.47+8.88+17.82</f>
        <v>189.46</v>
      </c>
      <c r="U12" s="72">
        <f t="shared" si="0"/>
        <v>3157.6599999999994</v>
      </c>
    </row>
    <row r="13" spans="1:22" x14ac:dyDescent="0.25">
      <c r="A13" s="110" t="s">
        <v>362</v>
      </c>
      <c r="B13" s="72">
        <f>100.99+101.52</f>
        <v>202.51</v>
      </c>
      <c r="O13" s="73">
        <f>6.45+6.48+21+21+21+21</f>
        <v>96.93</v>
      </c>
      <c r="P13" s="72">
        <f>329+329+329+329</f>
        <v>1316</v>
      </c>
      <c r="U13" s="72">
        <f t="shared" si="0"/>
        <v>1615.44</v>
      </c>
    </row>
    <row r="14" spans="1:22" x14ac:dyDescent="0.25">
      <c r="A14" s="71" t="s">
        <v>363</v>
      </c>
      <c r="B14" s="72">
        <v>846</v>
      </c>
      <c r="O14" s="73">
        <v>54</v>
      </c>
      <c r="U14" s="72">
        <f t="shared" si="0"/>
        <v>900</v>
      </c>
    </row>
    <row r="15" spans="1:22" x14ac:dyDescent="0.25">
      <c r="A15" s="111" t="s">
        <v>374</v>
      </c>
      <c r="O15" s="73">
        <f>16.02+33.6+9.17+50.18+19.07+76.61+66.6+5.4</f>
        <v>276.64999999999998</v>
      </c>
      <c r="R15" s="72">
        <f>250.98+526.4+143.63+786.22+298.83+1200.19+1043.39+84.6</f>
        <v>4334.2400000000007</v>
      </c>
      <c r="U15" s="72">
        <f t="shared" si="0"/>
        <v>4610.8900000000003</v>
      </c>
    </row>
    <row r="16" spans="1:22" x14ac:dyDescent="0.25">
      <c r="A16" s="110" t="s">
        <v>375</v>
      </c>
      <c r="O16" s="73">
        <f>9.72+5.18+12.72+10.08+3.6</f>
        <v>41.300000000000004</v>
      </c>
      <c r="R16" s="72">
        <f>152.28+81.22+199.28+157.92+56.4</f>
        <v>647.09999999999991</v>
      </c>
      <c r="U16" s="72">
        <f t="shared" si="0"/>
        <v>688.39999999999986</v>
      </c>
    </row>
    <row r="17" spans="1:21" hidden="1" x14ac:dyDescent="0.25">
      <c r="A17" s="71" t="s">
        <v>364</v>
      </c>
      <c r="U17" s="72">
        <f t="shared" si="0"/>
        <v>0</v>
      </c>
    </row>
    <row r="18" spans="1:21" x14ac:dyDescent="0.25">
      <c r="A18" s="110" t="s">
        <v>365</v>
      </c>
      <c r="B18" s="72">
        <f>2061.89+614.2</f>
        <v>2676.09</v>
      </c>
      <c r="O18" s="72">
        <f>131.61+39.2</f>
        <v>170.81</v>
      </c>
      <c r="U18" s="72">
        <f>SUM(B18:T18)</f>
        <v>2846.9</v>
      </c>
    </row>
    <row r="19" spans="1:21" hidden="1" x14ac:dyDescent="0.25">
      <c r="A19" s="71" t="s">
        <v>376</v>
      </c>
      <c r="U19" s="72">
        <f t="shared" si="0"/>
        <v>0</v>
      </c>
    </row>
    <row r="20" spans="1:21" hidden="1" x14ac:dyDescent="0.25">
      <c r="A20" s="110" t="s">
        <v>377</v>
      </c>
      <c r="O20" s="73"/>
      <c r="U20" s="72">
        <f t="shared" si="0"/>
        <v>0</v>
      </c>
    </row>
    <row r="21" spans="1:21" x14ac:dyDescent="0.25">
      <c r="A21" s="110" t="s">
        <v>378</v>
      </c>
      <c r="B21" s="72">
        <f>473.95+136.11+1427.33+1020.16+1308.76</f>
        <v>4366.3099999999995</v>
      </c>
      <c r="O21" s="73">
        <f>30.25+8.69+91.11+65.12+83.54</f>
        <v>278.71000000000004</v>
      </c>
      <c r="U21" s="72">
        <f t="shared" si="0"/>
        <v>4645.0199999999995</v>
      </c>
    </row>
    <row r="22" spans="1:21" ht="18" customHeight="1" x14ac:dyDescent="0.25">
      <c r="A22" s="110" t="s">
        <v>379</v>
      </c>
      <c r="B22" s="72">
        <f>72.19+54.52</f>
        <v>126.71000000000001</v>
      </c>
      <c r="O22" s="73">
        <f>4.61+3.48</f>
        <v>8.09</v>
      </c>
      <c r="U22" s="72">
        <f t="shared" si="0"/>
        <v>134.80000000000001</v>
      </c>
    </row>
    <row r="23" spans="1:21" x14ac:dyDescent="0.25">
      <c r="A23" s="110" t="s">
        <v>366</v>
      </c>
      <c r="B23" s="72">
        <f>94+94+342.16+5170+94</f>
        <v>5794.16</v>
      </c>
      <c r="O23" s="73">
        <f>6+6+21.84+330+6</f>
        <v>369.84000000000003</v>
      </c>
      <c r="U23" s="72">
        <f t="shared" si="0"/>
        <v>6164</v>
      </c>
    </row>
    <row r="24" spans="1:21" x14ac:dyDescent="0.25">
      <c r="A24" s="110" t="s">
        <v>380</v>
      </c>
      <c r="J24" s="72">
        <f>3290+1057.5</f>
        <v>4347.5</v>
      </c>
      <c r="O24" s="73">
        <f>210+67.5</f>
        <v>277.5</v>
      </c>
      <c r="U24" s="72">
        <f t="shared" si="0"/>
        <v>4625</v>
      </c>
    </row>
    <row r="25" spans="1:21" x14ac:dyDescent="0.25">
      <c r="A25" s="110" t="s">
        <v>459</v>
      </c>
      <c r="J25" s="72">
        <f>1350.4+225.6+1025.22+431.46+716.22+1004+1028</f>
        <v>5780.9000000000005</v>
      </c>
      <c r="O25" s="73">
        <f>86.2+14.4+65.44+27.54+45.72+500+96+100+72+1128+72</f>
        <v>2207.3000000000002</v>
      </c>
      <c r="U25" s="72">
        <f t="shared" si="0"/>
        <v>7988.2000000000007</v>
      </c>
    </row>
    <row r="26" spans="1:21" x14ac:dyDescent="0.25">
      <c r="A26" s="141" t="s">
        <v>619</v>
      </c>
      <c r="B26" s="73"/>
      <c r="F26" s="72">
        <v>1000</v>
      </c>
      <c r="J26" s="73">
        <v>1820</v>
      </c>
      <c r="O26" s="73">
        <v>180</v>
      </c>
      <c r="U26" s="72">
        <f t="shared" ref="U26" si="1">SUM(B26:T26)</f>
        <v>3000</v>
      </c>
    </row>
    <row r="27" spans="1:21" x14ac:dyDescent="0.25">
      <c r="A27" s="110" t="s">
        <v>367</v>
      </c>
      <c r="B27" s="73"/>
      <c r="J27" s="73">
        <f>1316+5306.81</f>
        <v>6622.81</v>
      </c>
      <c r="O27" s="73">
        <f>84+427.2+93.99+372</f>
        <v>977.18999999999994</v>
      </c>
      <c r="U27" s="72">
        <f t="shared" si="0"/>
        <v>7600</v>
      </c>
    </row>
    <row r="28" spans="1:21" x14ac:dyDescent="0.25">
      <c r="A28" s="110" t="s">
        <v>381</v>
      </c>
      <c r="B28" s="72">
        <f>245.9+505.34+207.74+487.71+339.9+248.16</f>
        <v>2034.7500000000002</v>
      </c>
      <c r="O28" s="73">
        <f>15.7+32.26+13.26+31.13+21.7+15.84+43.68+5.76</f>
        <v>179.32999999999998</v>
      </c>
      <c r="R28" s="72">
        <f>684.32+90.24</f>
        <v>774.56000000000006</v>
      </c>
      <c r="U28" s="72">
        <f t="shared" si="0"/>
        <v>2988.6400000000003</v>
      </c>
    </row>
    <row r="29" spans="1:21" x14ac:dyDescent="0.25">
      <c r="A29" s="71" t="s">
        <v>382</v>
      </c>
      <c r="B29" s="72">
        <v>3290</v>
      </c>
      <c r="O29" s="73">
        <v>210</v>
      </c>
      <c r="U29" s="72">
        <f t="shared" si="0"/>
        <v>3500</v>
      </c>
    </row>
    <row r="30" spans="1:21" x14ac:dyDescent="0.25">
      <c r="A30" s="71" t="s">
        <v>383</v>
      </c>
      <c r="B30" s="72">
        <f>235+1145+487+316</f>
        <v>2183</v>
      </c>
      <c r="O30" s="73">
        <f>15+105+500+500+63+1000+84</f>
        <v>2267</v>
      </c>
      <c r="U30" s="72">
        <f t="shared" si="0"/>
        <v>4450</v>
      </c>
    </row>
    <row r="31" spans="1:21" x14ac:dyDescent="0.25">
      <c r="A31" s="75" t="s">
        <v>384</v>
      </c>
      <c r="O31" s="72">
        <v>3500</v>
      </c>
      <c r="U31" s="72">
        <f t="shared" si="0"/>
        <v>3500</v>
      </c>
    </row>
    <row r="32" spans="1:21" hidden="1" x14ac:dyDescent="0.25">
      <c r="A32" s="75" t="s">
        <v>385</v>
      </c>
      <c r="U32" s="72">
        <f t="shared" si="0"/>
        <v>0</v>
      </c>
    </row>
    <row r="33" spans="1:22" hidden="1" x14ac:dyDescent="0.25">
      <c r="A33" s="71" t="s">
        <v>386</v>
      </c>
      <c r="U33" s="72">
        <f t="shared" si="0"/>
        <v>0</v>
      </c>
    </row>
    <row r="34" spans="1:22" x14ac:dyDescent="0.25">
      <c r="A34" s="71" t="s">
        <v>387</v>
      </c>
      <c r="B34" s="72">
        <f>662.7+850.7</f>
        <v>1513.4</v>
      </c>
      <c r="O34" s="73">
        <f>42.3+54.3+25.25+8.64+31.2+13.44+18.09</f>
        <v>193.22</v>
      </c>
      <c r="R34" s="72">
        <f>395.55+135.36+488.8+210.56+283.47</f>
        <v>1513.74</v>
      </c>
      <c r="U34" s="72">
        <f t="shared" si="0"/>
        <v>3220.36</v>
      </c>
    </row>
    <row r="35" spans="1:22" x14ac:dyDescent="0.25">
      <c r="A35" s="110" t="s">
        <v>460</v>
      </c>
      <c r="B35" s="73"/>
      <c r="J35" s="72">
        <v>3525</v>
      </c>
      <c r="O35" s="73">
        <f>225+25.85+113.85</f>
        <v>364.7</v>
      </c>
      <c r="R35" s="72">
        <f>404.95+1783.65</f>
        <v>2188.6</v>
      </c>
      <c r="U35" s="72">
        <f t="shared" si="0"/>
        <v>6078.2999999999993</v>
      </c>
    </row>
    <row r="36" spans="1:22" x14ac:dyDescent="0.25">
      <c r="A36" s="110" t="s">
        <v>368</v>
      </c>
      <c r="B36" s="72">
        <f>112.8+55.46+84.6+154.16+109.94+230.28</f>
        <v>747.24</v>
      </c>
      <c r="O36" s="73">
        <f>7.2+3.54+5.4+9.84+7.02+14.7</f>
        <v>47.7</v>
      </c>
      <c r="U36" s="72">
        <f t="shared" si="0"/>
        <v>794.94</v>
      </c>
    </row>
    <row r="37" spans="1:22" hidden="1" x14ac:dyDescent="0.25">
      <c r="A37" s="110" t="s">
        <v>388</v>
      </c>
      <c r="U37" s="72">
        <f t="shared" si="0"/>
        <v>0</v>
      </c>
    </row>
    <row r="38" spans="1:22" hidden="1" x14ac:dyDescent="0.25">
      <c r="A38" s="75" t="s">
        <v>432</v>
      </c>
      <c r="U38" s="72">
        <f t="shared" si="0"/>
        <v>0</v>
      </c>
    </row>
    <row r="39" spans="1:22" x14ac:dyDescent="0.25">
      <c r="A39" s="68" t="s">
        <v>508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0">
        <f>SUM(U40:U75)</f>
        <v>11518.71</v>
      </c>
    </row>
    <row r="40" spans="1:22" hidden="1" x14ac:dyDescent="0.25">
      <c r="A40" s="71" t="s">
        <v>357</v>
      </c>
      <c r="U40" s="72">
        <f t="shared" ref="U40:U103" si="2">SUM(B40:T40)</f>
        <v>0</v>
      </c>
    </row>
    <row r="41" spans="1:22" x14ac:dyDescent="0.25">
      <c r="A41" s="71" t="s">
        <v>358</v>
      </c>
      <c r="K41" s="72">
        <f>1500+1500</f>
        <v>3000</v>
      </c>
      <c r="U41" s="72">
        <f t="shared" si="2"/>
        <v>3000</v>
      </c>
    </row>
    <row r="42" spans="1:22" hidden="1" x14ac:dyDescent="0.25">
      <c r="A42" s="71" t="s">
        <v>369</v>
      </c>
      <c r="U42" s="72">
        <f t="shared" si="2"/>
        <v>0</v>
      </c>
    </row>
    <row r="43" spans="1:22" hidden="1" x14ac:dyDescent="0.25">
      <c r="A43" s="71" t="s">
        <v>370</v>
      </c>
      <c r="U43" s="72">
        <f t="shared" si="2"/>
        <v>0</v>
      </c>
    </row>
    <row r="44" spans="1:22" x14ac:dyDescent="0.25">
      <c r="A44" s="71" t="s">
        <v>371</v>
      </c>
      <c r="J44" s="72">
        <v>4425</v>
      </c>
      <c r="U44" s="72">
        <f t="shared" si="2"/>
        <v>4425</v>
      </c>
    </row>
    <row r="45" spans="1:22" hidden="1" x14ac:dyDescent="0.25">
      <c r="A45" s="71" t="s">
        <v>359</v>
      </c>
      <c r="U45" s="72">
        <f t="shared" si="2"/>
        <v>0</v>
      </c>
    </row>
    <row r="46" spans="1:22" hidden="1" x14ac:dyDescent="0.25">
      <c r="A46" s="71" t="s">
        <v>372</v>
      </c>
      <c r="U46" s="72">
        <f t="shared" si="2"/>
        <v>0</v>
      </c>
    </row>
    <row r="47" spans="1:22" hidden="1" x14ac:dyDescent="0.25">
      <c r="A47" s="71" t="s">
        <v>373</v>
      </c>
      <c r="U47" s="72">
        <f t="shared" si="2"/>
        <v>0</v>
      </c>
    </row>
    <row r="48" spans="1:22" hidden="1" x14ac:dyDescent="0.25">
      <c r="A48" s="71" t="s">
        <v>360</v>
      </c>
      <c r="U48" s="72">
        <f t="shared" si="2"/>
        <v>0</v>
      </c>
    </row>
    <row r="49" spans="1:21" hidden="1" x14ac:dyDescent="0.25">
      <c r="A49" s="71" t="s">
        <v>361</v>
      </c>
      <c r="U49" s="72">
        <f t="shared" si="2"/>
        <v>0</v>
      </c>
    </row>
    <row r="50" spans="1:21" hidden="1" x14ac:dyDescent="0.25">
      <c r="A50" s="71" t="s">
        <v>362</v>
      </c>
      <c r="U50" s="72">
        <f t="shared" si="2"/>
        <v>0</v>
      </c>
    </row>
    <row r="51" spans="1:21" hidden="1" x14ac:dyDescent="0.25">
      <c r="A51" s="71" t="s">
        <v>363</v>
      </c>
      <c r="U51" s="72">
        <f t="shared" si="2"/>
        <v>0</v>
      </c>
    </row>
    <row r="52" spans="1:21" hidden="1" x14ac:dyDescent="0.25">
      <c r="A52" s="75" t="s">
        <v>374</v>
      </c>
      <c r="U52" s="72">
        <f t="shared" si="2"/>
        <v>0</v>
      </c>
    </row>
    <row r="53" spans="1:21" hidden="1" x14ac:dyDescent="0.25">
      <c r="A53" s="71" t="s">
        <v>375</v>
      </c>
      <c r="U53" s="72">
        <f t="shared" si="2"/>
        <v>0</v>
      </c>
    </row>
    <row r="54" spans="1:21" hidden="1" x14ac:dyDescent="0.25">
      <c r="A54" s="71" t="s">
        <v>364</v>
      </c>
      <c r="U54" s="72">
        <f t="shared" si="2"/>
        <v>0</v>
      </c>
    </row>
    <row r="55" spans="1:21" hidden="1" x14ac:dyDescent="0.25">
      <c r="A55" s="71" t="s">
        <v>365</v>
      </c>
      <c r="U55" s="72">
        <f t="shared" si="2"/>
        <v>0</v>
      </c>
    </row>
    <row r="56" spans="1:21" hidden="1" x14ac:dyDescent="0.25">
      <c r="A56" s="71" t="s">
        <v>376</v>
      </c>
      <c r="U56" s="72">
        <f t="shared" si="2"/>
        <v>0</v>
      </c>
    </row>
    <row r="57" spans="1:21" hidden="1" x14ac:dyDescent="0.25">
      <c r="A57" s="71" t="s">
        <v>377</v>
      </c>
      <c r="U57" s="72">
        <f t="shared" si="2"/>
        <v>0</v>
      </c>
    </row>
    <row r="58" spans="1:21" hidden="1" x14ac:dyDescent="0.25">
      <c r="A58" s="71" t="s">
        <v>378</v>
      </c>
      <c r="U58" s="72">
        <f t="shared" si="2"/>
        <v>0</v>
      </c>
    </row>
    <row r="59" spans="1:21" hidden="1" x14ac:dyDescent="0.25">
      <c r="A59" s="71" t="s">
        <v>379</v>
      </c>
      <c r="U59" s="72">
        <f t="shared" si="2"/>
        <v>0</v>
      </c>
    </row>
    <row r="60" spans="1:21" hidden="1" x14ac:dyDescent="0.25">
      <c r="A60" s="71" t="s">
        <v>366</v>
      </c>
      <c r="U60" s="72">
        <f t="shared" si="2"/>
        <v>0</v>
      </c>
    </row>
    <row r="61" spans="1:21" hidden="1" x14ac:dyDescent="0.25">
      <c r="A61" s="71" t="s">
        <v>380</v>
      </c>
      <c r="U61" s="72">
        <f t="shared" si="2"/>
        <v>0</v>
      </c>
    </row>
    <row r="62" spans="1:21" hidden="1" x14ac:dyDescent="0.25">
      <c r="A62" s="71" t="s">
        <v>459</v>
      </c>
      <c r="U62" s="72">
        <f t="shared" si="2"/>
        <v>0</v>
      </c>
    </row>
    <row r="63" spans="1:21" x14ac:dyDescent="0.25">
      <c r="A63" s="71" t="s">
        <v>367</v>
      </c>
      <c r="J63" s="72">
        <v>4093.71</v>
      </c>
      <c r="U63" s="72">
        <f t="shared" si="2"/>
        <v>4093.71</v>
      </c>
    </row>
    <row r="64" spans="1:21" hidden="1" x14ac:dyDescent="0.25">
      <c r="A64" s="71" t="s">
        <v>381</v>
      </c>
      <c r="U64" s="72">
        <f t="shared" si="2"/>
        <v>0</v>
      </c>
    </row>
    <row r="65" spans="1:22" hidden="1" x14ac:dyDescent="0.25">
      <c r="A65" s="71" t="s">
        <v>382</v>
      </c>
      <c r="U65" s="72">
        <f t="shared" si="2"/>
        <v>0</v>
      </c>
    </row>
    <row r="66" spans="1:22" hidden="1" x14ac:dyDescent="0.25">
      <c r="A66" s="71" t="s">
        <v>383</v>
      </c>
      <c r="U66" s="72">
        <f t="shared" si="2"/>
        <v>0</v>
      </c>
    </row>
    <row r="67" spans="1:22" hidden="1" x14ac:dyDescent="0.25">
      <c r="A67" s="75" t="s">
        <v>384</v>
      </c>
      <c r="U67" s="72">
        <f t="shared" si="2"/>
        <v>0</v>
      </c>
    </row>
    <row r="68" spans="1:22" hidden="1" x14ac:dyDescent="0.25">
      <c r="A68" s="75" t="s">
        <v>385</v>
      </c>
      <c r="U68" s="72">
        <f t="shared" si="2"/>
        <v>0</v>
      </c>
    </row>
    <row r="69" spans="1:22" hidden="1" x14ac:dyDescent="0.25">
      <c r="A69" s="71" t="s">
        <v>386</v>
      </c>
      <c r="U69" s="72">
        <f t="shared" si="2"/>
        <v>0</v>
      </c>
    </row>
    <row r="70" spans="1:22" hidden="1" x14ac:dyDescent="0.25">
      <c r="A70" s="71" t="s">
        <v>387</v>
      </c>
      <c r="U70" s="72">
        <f t="shared" si="2"/>
        <v>0</v>
      </c>
    </row>
    <row r="71" spans="1:22" hidden="1" x14ac:dyDescent="0.25">
      <c r="A71" s="71" t="s">
        <v>460</v>
      </c>
      <c r="U71" s="72">
        <f t="shared" si="2"/>
        <v>0</v>
      </c>
    </row>
    <row r="72" spans="1:22" hidden="1" x14ac:dyDescent="0.25">
      <c r="A72" s="71" t="s">
        <v>368</v>
      </c>
      <c r="U72" s="72">
        <f t="shared" si="2"/>
        <v>0</v>
      </c>
    </row>
    <row r="73" spans="1:22" hidden="1" x14ac:dyDescent="0.25">
      <c r="A73" s="71" t="s">
        <v>388</v>
      </c>
      <c r="U73" s="72">
        <f t="shared" si="2"/>
        <v>0</v>
      </c>
    </row>
    <row r="74" spans="1:22" hidden="1" x14ac:dyDescent="0.25">
      <c r="A74" s="77" t="s">
        <v>510</v>
      </c>
      <c r="U74" s="72">
        <f t="shared" si="2"/>
        <v>0</v>
      </c>
    </row>
    <row r="75" spans="1:22" hidden="1" x14ac:dyDescent="0.25">
      <c r="A75" s="77" t="s">
        <v>523</v>
      </c>
      <c r="U75" s="72">
        <f>SUM(B75:T75)</f>
        <v>0</v>
      </c>
    </row>
    <row r="76" spans="1:22" x14ac:dyDescent="0.25">
      <c r="A76" s="78" t="s">
        <v>409</v>
      </c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0">
        <f>SUM(U77:U99)</f>
        <v>0</v>
      </c>
    </row>
    <row r="77" spans="1:22" hidden="1" x14ac:dyDescent="0.25">
      <c r="A77" s="71" t="s">
        <v>408</v>
      </c>
      <c r="U77" s="72">
        <f t="shared" si="2"/>
        <v>0</v>
      </c>
    </row>
    <row r="78" spans="1:22" hidden="1" x14ac:dyDescent="0.25">
      <c r="A78" s="71" t="s">
        <v>410</v>
      </c>
      <c r="U78" s="72">
        <f t="shared" si="2"/>
        <v>0</v>
      </c>
    </row>
    <row r="79" spans="1:22" hidden="1" x14ac:dyDescent="0.25">
      <c r="A79" s="71" t="s">
        <v>369</v>
      </c>
      <c r="U79" s="72">
        <f t="shared" si="2"/>
        <v>0</v>
      </c>
    </row>
    <row r="80" spans="1:22" hidden="1" x14ac:dyDescent="0.25">
      <c r="A80" s="71" t="s">
        <v>370</v>
      </c>
      <c r="U80" s="72">
        <f t="shared" si="2"/>
        <v>0</v>
      </c>
    </row>
    <row r="81" spans="1:21" hidden="1" x14ac:dyDescent="0.25">
      <c r="A81" s="71" t="s">
        <v>371</v>
      </c>
      <c r="U81" s="72">
        <f t="shared" si="2"/>
        <v>0</v>
      </c>
    </row>
    <row r="82" spans="1:21" hidden="1" x14ac:dyDescent="0.25">
      <c r="A82" s="71" t="s">
        <v>373</v>
      </c>
      <c r="U82" s="72">
        <f t="shared" si="2"/>
        <v>0</v>
      </c>
    </row>
    <row r="83" spans="1:21" hidden="1" x14ac:dyDescent="0.25">
      <c r="A83" s="71" t="s">
        <v>360</v>
      </c>
      <c r="U83" s="72">
        <f t="shared" si="2"/>
        <v>0</v>
      </c>
    </row>
    <row r="84" spans="1:21" hidden="1" x14ac:dyDescent="0.25">
      <c r="A84" s="71" t="s">
        <v>361</v>
      </c>
      <c r="U84" s="72">
        <f t="shared" si="2"/>
        <v>0</v>
      </c>
    </row>
    <row r="85" spans="1:21" hidden="1" x14ac:dyDescent="0.25">
      <c r="A85" s="71" t="s">
        <v>362</v>
      </c>
      <c r="U85" s="72">
        <f t="shared" si="2"/>
        <v>0</v>
      </c>
    </row>
    <row r="86" spans="1:21" hidden="1" x14ac:dyDescent="0.25">
      <c r="A86" s="71" t="s">
        <v>374</v>
      </c>
      <c r="U86" s="72">
        <f t="shared" si="2"/>
        <v>0</v>
      </c>
    </row>
    <row r="87" spans="1:21" hidden="1" x14ac:dyDescent="0.25">
      <c r="A87" s="71" t="s">
        <v>375</v>
      </c>
      <c r="U87" s="72">
        <f t="shared" si="2"/>
        <v>0</v>
      </c>
    </row>
    <row r="88" spans="1:21" hidden="1" x14ac:dyDescent="0.25">
      <c r="A88" s="71" t="s">
        <v>365</v>
      </c>
      <c r="U88" s="72">
        <f t="shared" si="2"/>
        <v>0</v>
      </c>
    </row>
    <row r="89" spans="1:21" hidden="1" x14ac:dyDescent="0.25">
      <c r="A89" s="75" t="s">
        <v>378</v>
      </c>
      <c r="U89" s="72">
        <f t="shared" si="2"/>
        <v>0</v>
      </c>
    </row>
    <row r="90" spans="1:21" hidden="1" x14ac:dyDescent="0.25">
      <c r="A90" s="71" t="s">
        <v>379</v>
      </c>
      <c r="U90" s="72">
        <f t="shared" si="2"/>
        <v>0</v>
      </c>
    </row>
    <row r="91" spans="1:21" hidden="1" x14ac:dyDescent="0.25">
      <c r="A91" s="71" t="s">
        <v>366</v>
      </c>
      <c r="U91" s="72">
        <f t="shared" si="2"/>
        <v>0</v>
      </c>
    </row>
    <row r="92" spans="1:21" hidden="1" x14ac:dyDescent="0.25">
      <c r="A92" s="71" t="s">
        <v>459</v>
      </c>
      <c r="U92" s="72">
        <f t="shared" si="2"/>
        <v>0</v>
      </c>
    </row>
    <row r="93" spans="1:21" hidden="1" x14ac:dyDescent="0.25">
      <c r="A93" s="71" t="s">
        <v>381</v>
      </c>
      <c r="U93" s="72">
        <f t="shared" si="2"/>
        <v>0</v>
      </c>
    </row>
    <row r="94" spans="1:21" hidden="1" x14ac:dyDescent="0.25">
      <c r="A94" s="71" t="s">
        <v>384</v>
      </c>
      <c r="U94" s="72">
        <f t="shared" si="2"/>
        <v>0</v>
      </c>
    </row>
    <row r="95" spans="1:21" hidden="1" x14ac:dyDescent="0.25">
      <c r="A95" s="71" t="s">
        <v>385</v>
      </c>
      <c r="U95" s="72">
        <f t="shared" si="2"/>
        <v>0</v>
      </c>
    </row>
    <row r="96" spans="1:21" hidden="1" x14ac:dyDescent="0.25">
      <c r="A96" s="71" t="s">
        <v>386</v>
      </c>
      <c r="U96" s="72">
        <f t="shared" si="2"/>
        <v>0</v>
      </c>
    </row>
    <row r="97" spans="1:22" hidden="1" x14ac:dyDescent="0.25">
      <c r="A97" s="71" t="s">
        <v>387</v>
      </c>
      <c r="U97" s="72">
        <f t="shared" si="2"/>
        <v>0</v>
      </c>
    </row>
    <row r="98" spans="1:22" hidden="1" x14ac:dyDescent="0.25">
      <c r="A98" s="71" t="s">
        <v>460</v>
      </c>
      <c r="U98" s="72">
        <f t="shared" si="2"/>
        <v>0</v>
      </c>
    </row>
    <row r="99" spans="1:22" hidden="1" x14ac:dyDescent="0.25">
      <c r="A99" s="71" t="s">
        <v>368</v>
      </c>
      <c r="U99" s="72">
        <f t="shared" si="2"/>
        <v>0</v>
      </c>
    </row>
    <row r="100" spans="1:22" x14ac:dyDescent="0.25">
      <c r="A100" s="68" t="s">
        <v>507</v>
      </c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70">
        <f>SUM(U101:U146)</f>
        <v>80753.850000000006</v>
      </c>
    </row>
    <row r="101" spans="1:22" hidden="1" x14ac:dyDescent="0.25">
      <c r="A101" s="77" t="s">
        <v>634</v>
      </c>
      <c r="O101" s="73"/>
      <c r="U101" s="72">
        <f t="shared" si="2"/>
        <v>0</v>
      </c>
    </row>
    <row r="102" spans="1:22" ht="18" customHeight="1" x14ac:dyDescent="0.25">
      <c r="A102" s="77" t="s">
        <v>605</v>
      </c>
      <c r="D102" s="72">
        <v>1300</v>
      </c>
      <c r="O102" s="72">
        <v>44000</v>
      </c>
      <c r="U102" s="72">
        <f t="shared" si="2"/>
        <v>45300</v>
      </c>
    </row>
    <row r="103" spans="1:22" hidden="1" x14ac:dyDescent="0.25">
      <c r="A103" s="77" t="s">
        <v>635</v>
      </c>
      <c r="U103" s="72">
        <f t="shared" si="2"/>
        <v>0</v>
      </c>
    </row>
    <row r="104" spans="1:22" hidden="1" x14ac:dyDescent="0.25">
      <c r="A104" s="77" t="s">
        <v>636</v>
      </c>
      <c r="O104" s="73"/>
      <c r="U104" s="72">
        <f t="shared" ref="U104:U146" si="3">SUM(B104:T104)</f>
        <v>0</v>
      </c>
    </row>
    <row r="105" spans="1:22" hidden="1" x14ac:dyDescent="0.25">
      <c r="A105" s="77" t="s">
        <v>637</v>
      </c>
      <c r="O105" s="73"/>
      <c r="U105" s="72">
        <f t="shared" si="3"/>
        <v>0</v>
      </c>
    </row>
    <row r="106" spans="1:22" hidden="1" x14ac:dyDescent="0.25">
      <c r="A106" s="77" t="s">
        <v>638</v>
      </c>
      <c r="O106" s="73"/>
      <c r="U106" s="72">
        <f t="shared" si="3"/>
        <v>0</v>
      </c>
    </row>
    <row r="107" spans="1:22" hidden="1" x14ac:dyDescent="0.25">
      <c r="A107" s="77" t="s">
        <v>639</v>
      </c>
      <c r="O107" s="73"/>
      <c r="U107" s="72">
        <f t="shared" si="3"/>
        <v>0</v>
      </c>
    </row>
    <row r="108" spans="1:22" hidden="1" x14ac:dyDescent="0.25">
      <c r="A108" s="77" t="s">
        <v>640</v>
      </c>
      <c r="U108" s="72">
        <f t="shared" si="3"/>
        <v>0</v>
      </c>
    </row>
    <row r="109" spans="1:22" hidden="1" x14ac:dyDescent="0.25">
      <c r="A109" s="77" t="s">
        <v>641</v>
      </c>
      <c r="O109" s="73"/>
      <c r="U109" s="72">
        <f t="shared" si="3"/>
        <v>0</v>
      </c>
    </row>
    <row r="110" spans="1:22" hidden="1" x14ac:dyDescent="0.25">
      <c r="A110" s="77" t="s">
        <v>642</v>
      </c>
      <c r="O110" s="73"/>
      <c r="U110" s="72">
        <f t="shared" si="3"/>
        <v>0</v>
      </c>
    </row>
    <row r="111" spans="1:22" hidden="1" x14ac:dyDescent="0.25">
      <c r="A111" s="77" t="s">
        <v>643</v>
      </c>
      <c r="O111" s="73"/>
      <c r="U111" s="72">
        <f t="shared" si="3"/>
        <v>0</v>
      </c>
    </row>
    <row r="112" spans="1:22" hidden="1" x14ac:dyDescent="0.25">
      <c r="A112" s="77" t="s">
        <v>644</v>
      </c>
      <c r="O112" s="73"/>
      <c r="U112" s="72">
        <f t="shared" si="3"/>
        <v>0</v>
      </c>
    </row>
    <row r="113" spans="1:21" hidden="1" x14ac:dyDescent="0.25">
      <c r="A113" s="77" t="s">
        <v>645</v>
      </c>
      <c r="O113" s="73"/>
      <c r="U113" s="72">
        <f t="shared" si="3"/>
        <v>0</v>
      </c>
    </row>
    <row r="114" spans="1:21" hidden="1" x14ac:dyDescent="0.25">
      <c r="A114" s="77" t="s">
        <v>646</v>
      </c>
      <c r="O114" s="73"/>
      <c r="U114" s="72">
        <f t="shared" si="3"/>
        <v>0</v>
      </c>
    </row>
    <row r="115" spans="1:21" x14ac:dyDescent="0.25">
      <c r="A115" s="77" t="s">
        <v>606</v>
      </c>
      <c r="B115" s="72">
        <v>320.8</v>
      </c>
      <c r="O115" s="73"/>
      <c r="U115" s="72">
        <f t="shared" si="3"/>
        <v>320.8</v>
      </c>
    </row>
    <row r="116" spans="1:21" x14ac:dyDescent="0.25">
      <c r="A116" s="77" t="s">
        <v>607</v>
      </c>
      <c r="B116" s="72">
        <v>6330</v>
      </c>
      <c r="O116" s="73"/>
      <c r="U116" s="72">
        <f t="shared" si="3"/>
        <v>6330</v>
      </c>
    </row>
    <row r="117" spans="1:21" hidden="1" x14ac:dyDescent="0.25">
      <c r="A117" s="77" t="s">
        <v>647</v>
      </c>
      <c r="O117" s="73"/>
      <c r="U117" s="72">
        <f t="shared" si="3"/>
        <v>0</v>
      </c>
    </row>
    <row r="118" spans="1:21" hidden="1" x14ac:dyDescent="0.25">
      <c r="A118" s="77" t="s">
        <v>648</v>
      </c>
      <c r="O118" s="73"/>
      <c r="U118" s="72">
        <f t="shared" si="3"/>
        <v>0</v>
      </c>
    </row>
    <row r="119" spans="1:21" x14ac:dyDescent="0.25">
      <c r="A119" s="77" t="s">
        <v>608</v>
      </c>
      <c r="B119" s="72">
        <v>16003.27</v>
      </c>
      <c r="J119" s="72">
        <v>1543.31</v>
      </c>
      <c r="O119" s="73">
        <v>221.28</v>
      </c>
      <c r="U119" s="72">
        <f t="shared" si="3"/>
        <v>17767.86</v>
      </c>
    </row>
    <row r="120" spans="1:21" x14ac:dyDescent="0.25">
      <c r="A120" s="77" t="s">
        <v>609</v>
      </c>
      <c r="B120" s="72">
        <v>1906.97</v>
      </c>
      <c r="O120" s="73"/>
      <c r="U120" s="72">
        <f t="shared" si="3"/>
        <v>1906.97</v>
      </c>
    </row>
    <row r="121" spans="1:21" hidden="1" x14ac:dyDescent="0.25">
      <c r="A121" s="77" t="s">
        <v>649</v>
      </c>
      <c r="O121" s="73"/>
      <c r="U121" s="72">
        <f t="shared" si="3"/>
        <v>0</v>
      </c>
    </row>
    <row r="122" spans="1:21" hidden="1" x14ac:dyDescent="0.25">
      <c r="A122" s="77" t="s">
        <v>650</v>
      </c>
      <c r="O122" s="73"/>
      <c r="U122" s="72">
        <f t="shared" si="3"/>
        <v>0</v>
      </c>
    </row>
    <row r="123" spans="1:21" x14ac:dyDescent="0.25">
      <c r="A123" s="77" t="s">
        <v>629</v>
      </c>
      <c r="B123" s="72">
        <v>678.22</v>
      </c>
      <c r="O123" s="73"/>
      <c r="U123" s="72">
        <f t="shared" si="3"/>
        <v>678.22</v>
      </c>
    </row>
    <row r="124" spans="1:21" hidden="1" x14ac:dyDescent="0.25">
      <c r="A124" s="77" t="s">
        <v>651</v>
      </c>
      <c r="O124" s="73"/>
      <c r="U124" s="72">
        <f t="shared" si="3"/>
        <v>0</v>
      </c>
    </row>
    <row r="125" spans="1:21" x14ac:dyDescent="0.25">
      <c r="A125" s="77" t="s">
        <v>610</v>
      </c>
      <c r="O125" s="73">
        <v>3000</v>
      </c>
      <c r="U125" s="72">
        <f t="shared" si="3"/>
        <v>3000</v>
      </c>
    </row>
    <row r="126" spans="1:21" x14ac:dyDescent="0.25">
      <c r="A126" s="77" t="s">
        <v>611</v>
      </c>
      <c r="B126" s="72">
        <v>370</v>
      </c>
      <c r="O126" s="73"/>
      <c r="U126" s="72">
        <f t="shared" si="3"/>
        <v>370</v>
      </c>
    </row>
    <row r="127" spans="1:21" hidden="1" x14ac:dyDescent="0.25">
      <c r="A127" s="77" t="s">
        <v>652</v>
      </c>
      <c r="O127" s="73"/>
      <c r="U127" s="72">
        <f t="shared" si="3"/>
        <v>0</v>
      </c>
    </row>
    <row r="128" spans="1:21" x14ac:dyDescent="0.25">
      <c r="A128" s="77" t="s">
        <v>612</v>
      </c>
      <c r="B128" s="72">
        <v>700</v>
      </c>
      <c r="O128" s="73"/>
      <c r="U128" s="72">
        <f t="shared" si="3"/>
        <v>700</v>
      </c>
    </row>
    <row r="129" spans="1:21" hidden="1" x14ac:dyDescent="0.25">
      <c r="A129" s="77" t="s">
        <v>653</v>
      </c>
      <c r="O129" s="73"/>
      <c r="U129" s="72">
        <f t="shared" si="3"/>
        <v>0</v>
      </c>
    </row>
    <row r="130" spans="1:21" hidden="1" x14ac:dyDescent="0.25">
      <c r="A130" s="77" t="s">
        <v>654</v>
      </c>
      <c r="O130" s="73"/>
      <c r="U130" s="72">
        <f t="shared" si="3"/>
        <v>0</v>
      </c>
    </row>
    <row r="131" spans="1:21" hidden="1" x14ac:dyDescent="0.25">
      <c r="A131" s="77" t="s">
        <v>655</v>
      </c>
      <c r="O131" s="73"/>
      <c r="U131" s="72">
        <f t="shared" si="3"/>
        <v>0</v>
      </c>
    </row>
    <row r="132" spans="1:21" hidden="1" x14ac:dyDescent="0.25">
      <c r="A132" s="77" t="s">
        <v>656</v>
      </c>
      <c r="O132" s="73"/>
      <c r="U132" s="72">
        <f t="shared" si="3"/>
        <v>0</v>
      </c>
    </row>
    <row r="133" spans="1:21" hidden="1" x14ac:dyDescent="0.25">
      <c r="A133" s="77" t="s">
        <v>657</v>
      </c>
      <c r="O133" s="73"/>
      <c r="U133" s="72">
        <f t="shared" si="3"/>
        <v>0</v>
      </c>
    </row>
    <row r="134" spans="1:21" hidden="1" x14ac:dyDescent="0.25">
      <c r="A134" s="77" t="s">
        <v>658</v>
      </c>
      <c r="O134" s="73"/>
      <c r="U134" s="72">
        <f t="shared" si="3"/>
        <v>0</v>
      </c>
    </row>
    <row r="135" spans="1:21" hidden="1" x14ac:dyDescent="0.25">
      <c r="A135" s="77" t="s">
        <v>659</v>
      </c>
      <c r="O135" s="73"/>
      <c r="U135" s="72">
        <f t="shared" si="3"/>
        <v>0</v>
      </c>
    </row>
    <row r="136" spans="1:21" hidden="1" x14ac:dyDescent="0.25">
      <c r="A136" s="77" t="s">
        <v>660</v>
      </c>
      <c r="O136" s="73"/>
      <c r="U136" s="72">
        <f t="shared" si="3"/>
        <v>0</v>
      </c>
    </row>
    <row r="137" spans="1:21" hidden="1" x14ac:dyDescent="0.25">
      <c r="A137" s="77" t="s">
        <v>661</v>
      </c>
      <c r="O137" s="73"/>
      <c r="U137" s="72">
        <f t="shared" si="3"/>
        <v>0</v>
      </c>
    </row>
    <row r="138" spans="1:21" hidden="1" x14ac:dyDescent="0.25">
      <c r="A138" s="77" t="s">
        <v>662</v>
      </c>
      <c r="O138" s="73"/>
      <c r="U138" s="72">
        <f t="shared" si="3"/>
        <v>0</v>
      </c>
    </row>
    <row r="139" spans="1:21" hidden="1" x14ac:dyDescent="0.25">
      <c r="A139" s="77" t="s">
        <v>666</v>
      </c>
      <c r="O139" s="73"/>
      <c r="U139" s="72">
        <f t="shared" si="3"/>
        <v>0</v>
      </c>
    </row>
    <row r="140" spans="1:21" hidden="1" x14ac:dyDescent="0.25">
      <c r="A140" s="77" t="s">
        <v>663</v>
      </c>
      <c r="O140" s="73"/>
      <c r="U140" s="72">
        <f t="shared" si="3"/>
        <v>0</v>
      </c>
    </row>
    <row r="141" spans="1:21" ht="18" customHeight="1" x14ac:dyDescent="0.25">
      <c r="A141" s="77" t="s">
        <v>630</v>
      </c>
      <c r="B141" s="72">
        <v>160</v>
      </c>
      <c r="O141" s="73"/>
      <c r="U141" s="72">
        <f t="shared" si="3"/>
        <v>160</v>
      </c>
    </row>
    <row r="142" spans="1:21" ht="18" hidden="1" customHeight="1" x14ac:dyDescent="0.25">
      <c r="A142" s="77" t="s">
        <v>664</v>
      </c>
      <c r="O142" s="73"/>
      <c r="U142" s="72">
        <f t="shared" si="3"/>
        <v>0</v>
      </c>
    </row>
    <row r="143" spans="1:21" ht="18" hidden="1" customHeight="1" x14ac:dyDescent="0.25">
      <c r="A143" s="77" t="s">
        <v>665</v>
      </c>
      <c r="O143" s="73"/>
      <c r="U143" s="72">
        <f t="shared" si="3"/>
        <v>0</v>
      </c>
    </row>
    <row r="144" spans="1:21" ht="18" customHeight="1" x14ac:dyDescent="0.25">
      <c r="A144" s="77" t="s">
        <v>633</v>
      </c>
      <c r="K144" s="72">
        <v>150</v>
      </c>
      <c r="O144" s="73"/>
      <c r="U144" s="72">
        <f t="shared" si="3"/>
        <v>150</v>
      </c>
    </row>
    <row r="145" spans="1:21" ht="18" hidden="1" customHeight="1" x14ac:dyDescent="0.25">
      <c r="A145" s="77" t="s">
        <v>631</v>
      </c>
      <c r="O145" s="73"/>
      <c r="U145" s="72">
        <f t="shared" si="3"/>
        <v>0</v>
      </c>
    </row>
    <row r="146" spans="1:21" ht="18" customHeight="1" x14ac:dyDescent="0.25">
      <c r="A146" s="77" t="s">
        <v>632</v>
      </c>
      <c r="G146" s="72">
        <v>4070</v>
      </c>
      <c r="O146" s="73"/>
      <c r="U146" s="72">
        <f t="shared" si="3"/>
        <v>4070</v>
      </c>
    </row>
    <row r="147" spans="1:21" x14ac:dyDescent="0.25">
      <c r="A147" s="79" t="s">
        <v>604</v>
      </c>
      <c r="B147" s="72">
        <v>2314</v>
      </c>
      <c r="U147" s="72">
        <f t="shared" ref="U147:U157" si="4">SUM(B147:T147)</f>
        <v>2314</v>
      </c>
    </row>
    <row r="148" spans="1:21" x14ac:dyDescent="0.25">
      <c r="A148" s="79" t="s">
        <v>517</v>
      </c>
      <c r="B148" s="72">
        <v>1547</v>
      </c>
      <c r="U148" s="72">
        <f t="shared" si="4"/>
        <v>1547</v>
      </c>
    </row>
    <row r="149" spans="1:21" x14ac:dyDescent="0.25">
      <c r="A149" s="79" t="s">
        <v>524</v>
      </c>
      <c r="B149" s="72">
        <v>117.5</v>
      </c>
      <c r="O149" s="72">
        <v>7.5</v>
      </c>
      <c r="U149" s="72">
        <f t="shared" si="4"/>
        <v>125</v>
      </c>
    </row>
    <row r="150" spans="1:21" x14ac:dyDescent="0.25">
      <c r="A150" s="79" t="s">
        <v>532</v>
      </c>
      <c r="B150" s="72">
        <v>-958.8</v>
      </c>
      <c r="O150" s="72">
        <v>-61.2</v>
      </c>
      <c r="U150" s="72">
        <f t="shared" si="4"/>
        <v>-1020</v>
      </c>
    </row>
    <row r="151" spans="1:21" x14ac:dyDescent="0.25">
      <c r="A151" s="79" t="s">
        <v>613</v>
      </c>
      <c r="B151" s="72">
        <v>-20011.63</v>
      </c>
      <c r="F151" s="72">
        <v>-151.37</v>
      </c>
      <c r="O151" s="72">
        <v>-1287</v>
      </c>
      <c r="U151" s="72">
        <f t="shared" si="4"/>
        <v>-21450</v>
      </c>
    </row>
    <row r="152" spans="1:21" x14ac:dyDescent="0.25">
      <c r="A152" s="79" t="s">
        <v>525</v>
      </c>
      <c r="B152" s="72">
        <v>-2801.38</v>
      </c>
      <c r="O152" s="72">
        <v>-2298.62</v>
      </c>
      <c r="U152" s="72">
        <f t="shared" si="4"/>
        <v>-5100</v>
      </c>
    </row>
    <row r="153" spans="1:21" x14ac:dyDescent="0.25">
      <c r="A153" s="79" t="s">
        <v>614</v>
      </c>
      <c r="B153" s="72">
        <v>-658</v>
      </c>
      <c r="O153" s="72">
        <v>-42</v>
      </c>
      <c r="U153" s="72">
        <f t="shared" si="4"/>
        <v>-700</v>
      </c>
    </row>
    <row r="154" spans="1:21" x14ac:dyDescent="0.25">
      <c r="A154" s="79" t="s">
        <v>526</v>
      </c>
      <c r="B154" s="72">
        <v>-4547.9799999999996</v>
      </c>
      <c r="O154" s="72">
        <v>-290.29000000000002</v>
      </c>
      <c r="U154" s="72">
        <f t="shared" si="4"/>
        <v>-4838.2699999999995</v>
      </c>
    </row>
    <row r="155" spans="1:21" x14ac:dyDescent="0.25">
      <c r="A155" s="79" t="s">
        <v>527</v>
      </c>
      <c r="B155" s="72">
        <v>-8742</v>
      </c>
      <c r="O155" s="72">
        <v>-558</v>
      </c>
      <c r="U155" s="72">
        <f t="shared" si="4"/>
        <v>-9300</v>
      </c>
    </row>
    <row r="156" spans="1:21" x14ac:dyDescent="0.25">
      <c r="A156" s="79" t="s">
        <v>615</v>
      </c>
      <c r="B156" s="72">
        <v>-1353.6</v>
      </c>
      <c r="O156" s="72">
        <v>-86.4</v>
      </c>
      <c r="U156" s="72">
        <f t="shared" si="4"/>
        <v>-1440</v>
      </c>
    </row>
    <row r="157" spans="1:21" hidden="1" x14ac:dyDescent="0.25">
      <c r="A157" s="113"/>
      <c r="U157" s="72">
        <f t="shared" si="4"/>
        <v>0</v>
      </c>
    </row>
    <row r="158" spans="1:21" hidden="1" x14ac:dyDescent="0.25">
      <c r="A158" s="113"/>
      <c r="U158" s="72">
        <f t="shared" ref="U158:U206" si="5">SUM(B158:T158)</f>
        <v>0</v>
      </c>
    </row>
    <row r="159" spans="1:21" hidden="1" x14ac:dyDescent="0.25">
      <c r="A159" s="113"/>
      <c r="U159" s="72">
        <f t="shared" si="5"/>
        <v>0</v>
      </c>
    </row>
    <row r="160" spans="1:21" hidden="1" x14ac:dyDescent="0.25">
      <c r="A160" s="113"/>
      <c r="U160" s="72">
        <f t="shared" si="5"/>
        <v>0</v>
      </c>
    </row>
    <row r="161" spans="1:21" hidden="1" x14ac:dyDescent="0.25">
      <c r="A161" s="113"/>
      <c r="U161" s="72">
        <f t="shared" si="5"/>
        <v>0</v>
      </c>
    </row>
    <row r="162" spans="1:21" hidden="1" x14ac:dyDescent="0.25">
      <c r="A162" s="113"/>
      <c r="U162" s="72">
        <f t="shared" si="5"/>
        <v>0</v>
      </c>
    </row>
    <row r="163" spans="1:21" hidden="1" x14ac:dyDescent="0.25">
      <c r="A163" s="113"/>
      <c r="U163" s="72">
        <f t="shared" si="5"/>
        <v>0</v>
      </c>
    </row>
    <row r="164" spans="1:21" hidden="1" x14ac:dyDescent="0.25">
      <c r="A164" s="113"/>
      <c r="U164" s="72">
        <f t="shared" si="5"/>
        <v>0</v>
      </c>
    </row>
    <row r="165" spans="1:21" hidden="1" x14ac:dyDescent="0.25">
      <c r="A165" s="113"/>
      <c r="U165" s="72">
        <f t="shared" si="5"/>
        <v>0</v>
      </c>
    </row>
    <row r="166" spans="1:21" hidden="1" x14ac:dyDescent="0.25">
      <c r="A166" s="113"/>
      <c r="U166" s="72">
        <f t="shared" si="5"/>
        <v>0</v>
      </c>
    </row>
    <row r="167" spans="1:21" hidden="1" x14ac:dyDescent="0.25">
      <c r="A167" s="113"/>
      <c r="U167" s="72">
        <f t="shared" si="5"/>
        <v>0</v>
      </c>
    </row>
    <row r="168" spans="1:21" hidden="1" x14ac:dyDescent="0.25">
      <c r="A168" s="113"/>
      <c r="U168" s="72">
        <f t="shared" si="5"/>
        <v>0</v>
      </c>
    </row>
    <row r="169" spans="1:21" hidden="1" x14ac:dyDescent="0.25">
      <c r="A169" s="113"/>
      <c r="U169" s="72">
        <f t="shared" si="5"/>
        <v>0</v>
      </c>
    </row>
    <row r="170" spans="1:21" hidden="1" x14ac:dyDescent="0.25">
      <c r="A170" s="113"/>
      <c r="U170" s="72">
        <f t="shared" si="5"/>
        <v>0</v>
      </c>
    </row>
    <row r="171" spans="1:21" hidden="1" x14ac:dyDescent="0.25">
      <c r="A171" s="113"/>
      <c r="U171" s="72">
        <f t="shared" si="5"/>
        <v>0</v>
      </c>
    </row>
    <row r="172" spans="1:21" hidden="1" x14ac:dyDescent="0.25">
      <c r="A172" s="113"/>
      <c r="U172" s="72">
        <f t="shared" si="5"/>
        <v>0</v>
      </c>
    </row>
    <row r="173" spans="1:21" hidden="1" x14ac:dyDescent="0.25">
      <c r="A173" s="113"/>
      <c r="U173" s="72">
        <f t="shared" si="5"/>
        <v>0</v>
      </c>
    </row>
    <row r="174" spans="1:21" hidden="1" x14ac:dyDescent="0.25">
      <c r="A174" s="113"/>
      <c r="U174" s="72">
        <f t="shared" si="5"/>
        <v>0</v>
      </c>
    </row>
    <row r="175" spans="1:21" hidden="1" x14ac:dyDescent="0.25">
      <c r="A175" s="74"/>
      <c r="B175" s="74"/>
      <c r="U175" s="72">
        <f t="shared" si="5"/>
        <v>0</v>
      </c>
    </row>
    <row r="176" spans="1:21" hidden="1" x14ac:dyDescent="0.25">
      <c r="A176" s="113"/>
      <c r="U176" s="72">
        <f t="shared" si="5"/>
        <v>0</v>
      </c>
    </row>
    <row r="177" spans="1:21" hidden="1" x14ac:dyDescent="0.25">
      <c r="A177" s="79"/>
      <c r="U177" s="72">
        <f t="shared" si="5"/>
        <v>0</v>
      </c>
    </row>
    <row r="178" spans="1:21" hidden="1" x14ac:dyDescent="0.25">
      <c r="A178" s="113"/>
      <c r="U178" s="72">
        <f t="shared" si="5"/>
        <v>0</v>
      </c>
    </row>
    <row r="179" spans="1:21" hidden="1" x14ac:dyDescent="0.25">
      <c r="A179" s="79"/>
      <c r="U179" s="72">
        <f t="shared" si="5"/>
        <v>0</v>
      </c>
    </row>
    <row r="180" spans="1:21" hidden="1" x14ac:dyDescent="0.25">
      <c r="A180" s="108"/>
      <c r="U180" s="72">
        <f t="shared" si="5"/>
        <v>0</v>
      </c>
    </row>
    <row r="181" spans="1:21" hidden="1" x14ac:dyDescent="0.25">
      <c r="A181" s="108"/>
      <c r="U181" s="72">
        <f t="shared" si="5"/>
        <v>0</v>
      </c>
    </row>
    <row r="182" spans="1:21" hidden="1" x14ac:dyDescent="0.25">
      <c r="A182" s="108"/>
      <c r="U182" s="72">
        <f t="shared" si="5"/>
        <v>0</v>
      </c>
    </row>
    <row r="183" spans="1:21" hidden="1" x14ac:dyDescent="0.25">
      <c r="A183" s="108"/>
      <c r="U183" s="72">
        <f t="shared" si="5"/>
        <v>0</v>
      </c>
    </row>
    <row r="184" spans="1:21" hidden="1" x14ac:dyDescent="0.25">
      <c r="A184" s="108"/>
      <c r="U184" s="72">
        <f t="shared" si="5"/>
        <v>0</v>
      </c>
    </row>
    <row r="185" spans="1:21" hidden="1" x14ac:dyDescent="0.25">
      <c r="A185" s="108"/>
      <c r="U185" s="72">
        <f t="shared" si="5"/>
        <v>0</v>
      </c>
    </row>
    <row r="186" spans="1:21" hidden="1" x14ac:dyDescent="0.25">
      <c r="A186" s="79"/>
      <c r="U186" s="72">
        <f t="shared" ref="U186" si="6">SUM(B186:T186)</f>
        <v>0</v>
      </c>
    </row>
    <row r="187" spans="1:21" hidden="1" x14ac:dyDescent="0.25">
      <c r="A187" s="79"/>
      <c r="U187" s="72">
        <f t="shared" si="5"/>
        <v>0</v>
      </c>
    </row>
    <row r="188" spans="1:21" hidden="1" x14ac:dyDescent="0.25">
      <c r="A188" s="79"/>
      <c r="U188" s="72">
        <f t="shared" si="5"/>
        <v>0</v>
      </c>
    </row>
    <row r="189" spans="1:21" hidden="1" x14ac:dyDescent="0.25">
      <c r="A189" s="79"/>
      <c r="U189" s="72">
        <f t="shared" si="5"/>
        <v>0</v>
      </c>
    </row>
    <row r="190" spans="1:21" hidden="1" x14ac:dyDescent="0.25">
      <c r="A190" s="79"/>
      <c r="U190" s="72">
        <f t="shared" si="5"/>
        <v>0</v>
      </c>
    </row>
    <row r="191" spans="1:21" hidden="1" x14ac:dyDescent="0.25">
      <c r="A191" s="79"/>
      <c r="U191" s="72">
        <f t="shared" si="5"/>
        <v>0</v>
      </c>
    </row>
    <row r="192" spans="1:21" hidden="1" x14ac:dyDescent="0.25">
      <c r="A192" s="108"/>
      <c r="U192" s="72">
        <f t="shared" si="5"/>
        <v>0</v>
      </c>
    </row>
    <row r="193" spans="1:21" hidden="1" x14ac:dyDescent="0.25">
      <c r="A193" s="108"/>
      <c r="U193" s="72">
        <f t="shared" si="5"/>
        <v>0</v>
      </c>
    </row>
    <row r="194" spans="1:21" hidden="1" x14ac:dyDescent="0.25">
      <c r="A194" s="108"/>
      <c r="U194" s="72">
        <f t="shared" si="5"/>
        <v>0</v>
      </c>
    </row>
    <row r="195" spans="1:21" hidden="1" x14ac:dyDescent="0.25">
      <c r="A195" s="108"/>
      <c r="U195" s="72">
        <f t="shared" si="5"/>
        <v>0</v>
      </c>
    </row>
    <row r="196" spans="1:21" hidden="1" x14ac:dyDescent="0.25">
      <c r="A196" s="108"/>
      <c r="U196" s="72">
        <f t="shared" si="5"/>
        <v>0</v>
      </c>
    </row>
    <row r="197" spans="1:21" hidden="1" x14ac:dyDescent="0.25">
      <c r="A197" s="108"/>
      <c r="U197" s="72">
        <f t="shared" si="5"/>
        <v>0</v>
      </c>
    </row>
    <row r="198" spans="1:21" hidden="1" x14ac:dyDescent="0.25">
      <c r="A198" s="108"/>
      <c r="U198" s="72">
        <f t="shared" si="5"/>
        <v>0</v>
      </c>
    </row>
    <row r="199" spans="1:21" hidden="1" x14ac:dyDescent="0.25">
      <c r="A199" s="108"/>
      <c r="U199" s="72">
        <f t="shared" si="5"/>
        <v>0</v>
      </c>
    </row>
    <row r="200" spans="1:21" hidden="1" x14ac:dyDescent="0.25">
      <c r="A200" s="79"/>
      <c r="U200" s="72">
        <f t="shared" si="5"/>
        <v>0</v>
      </c>
    </row>
    <row r="201" spans="1:21" hidden="1" x14ac:dyDescent="0.25">
      <c r="A201" s="79"/>
      <c r="U201" s="72">
        <f t="shared" si="5"/>
        <v>0</v>
      </c>
    </row>
    <row r="202" spans="1:21" hidden="1" x14ac:dyDescent="0.25">
      <c r="A202" s="108"/>
      <c r="U202" s="72">
        <f t="shared" si="5"/>
        <v>0</v>
      </c>
    </row>
    <row r="203" spans="1:21" hidden="1" x14ac:dyDescent="0.25">
      <c r="A203" s="108"/>
      <c r="U203" s="72">
        <f t="shared" si="5"/>
        <v>0</v>
      </c>
    </row>
    <row r="204" spans="1:21" hidden="1" x14ac:dyDescent="0.25">
      <c r="A204" s="108"/>
      <c r="U204" s="72">
        <f t="shared" si="5"/>
        <v>0</v>
      </c>
    </row>
    <row r="205" spans="1:21" hidden="1" x14ac:dyDescent="0.25">
      <c r="A205" s="108"/>
      <c r="U205" s="72">
        <f t="shared" si="5"/>
        <v>0</v>
      </c>
    </row>
    <row r="206" spans="1:21" hidden="1" x14ac:dyDescent="0.25">
      <c r="A206" s="108"/>
      <c r="U206" s="72">
        <f t="shared" si="5"/>
        <v>0</v>
      </c>
    </row>
    <row r="207" spans="1:21" hidden="1" x14ac:dyDescent="0.25">
      <c r="A207" s="108"/>
      <c r="U207" s="72">
        <f t="shared" ref="U207:U211" si="7">SUM(B207:T207)</f>
        <v>0</v>
      </c>
    </row>
    <row r="208" spans="1:21" hidden="1" x14ac:dyDescent="0.25">
      <c r="A208" s="108"/>
      <c r="U208" s="72">
        <f t="shared" si="7"/>
        <v>0</v>
      </c>
    </row>
    <row r="209" spans="1:23" hidden="1" x14ac:dyDescent="0.25">
      <c r="A209" s="108"/>
      <c r="U209" s="72">
        <f t="shared" si="7"/>
        <v>0</v>
      </c>
    </row>
    <row r="210" spans="1:23" hidden="1" x14ac:dyDescent="0.25">
      <c r="A210" s="108"/>
      <c r="U210" s="72">
        <f t="shared" si="7"/>
        <v>0</v>
      </c>
    </row>
    <row r="211" spans="1:23" hidden="1" x14ac:dyDescent="0.25">
      <c r="A211" s="108"/>
      <c r="U211" s="72">
        <f t="shared" si="7"/>
        <v>0</v>
      </c>
    </row>
    <row r="212" spans="1:23" s="82" customFormat="1" ht="18.75" thickBot="1" x14ac:dyDescent="0.3">
      <c r="A212" s="80" t="s">
        <v>390</v>
      </c>
      <c r="B212" s="81">
        <f t="shared" ref="B212:U212" si="8">SUM(B3:B211)</f>
        <v>31784.340000000004</v>
      </c>
      <c r="C212" s="81">
        <f t="shared" si="8"/>
        <v>0</v>
      </c>
      <c r="D212" s="81">
        <f t="shared" si="8"/>
        <v>1300</v>
      </c>
      <c r="E212" s="81">
        <f t="shared" si="8"/>
        <v>0</v>
      </c>
      <c r="F212" s="81">
        <f t="shared" si="8"/>
        <v>848.63</v>
      </c>
      <c r="G212" s="81">
        <f t="shared" si="8"/>
        <v>4070</v>
      </c>
      <c r="H212" s="81">
        <f t="shared" si="8"/>
        <v>0</v>
      </c>
      <c r="I212" s="81">
        <f t="shared" si="8"/>
        <v>0</v>
      </c>
      <c r="J212" s="81">
        <f t="shared" si="8"/>
        <v>42079.93</v>
      </c>
      <c r="K212" s="81">
        <f t="shared" si="8"/>
        <v>3150</v>
      </c>
      <c r="L212" s="81">
        <f t="shared" si="8"/>
        <v>0</v>
      </c>
      <c r="M212" s="81">
        <f t="shared" si="8"/>
        <v>0</v>
      </c>
      <c r="N212" s="81">
        <f t="shared" si="8"/>
        <v>0</v>
      </c>
      <c r="O212" s="81">
        <f t="shared" si="8"/>
        <v>56172.88</v>
      </c>
      <c r="P212" s="81">
        <f t="shared" si="8"/>
        <v>1316</v>
      </c>
      <c r="Q212" s="81">
        <f t="shared" si="8"/>
        <v>0</v>
      </c>
      <c r="R212" s="81">
        <f t="shared" si="8"/>
        <v>12162.04</v>
      </c>
      <c r="S212" s="81">
        <f t="shared" si="8"/>
        <v>0</v>
      </c>
      <c r="T212" s="81">
        <f t="shared" si="8"/>
        <v>0</v>
      </c>
      <c r="U212" s="81">
        <f t="shared" si="8"/>
        <v>152883.82000000004</v>
      </c>
      <c r="V212" s="81">
        <f>SUM(B212:T212)</f>
        <v>152883.82</v>
      </c>
      <c r="W212" s="81">
        <f>U212-V212</f>
        <v>0</v>
      </c>
    </row>
    <row r="213" spans="1:23" ht="18.75" thickTop="1" x14ac:dyDescent="0.25"/>
    <row r="214" spans="1:23" x14ac:dyDescent="0.25">
      <c r="A214" s="12"/>
    </row>
    <row r="215" spans="1:23" x14ac:dyDescent="0.25">
      <c r="U215" s="72">
        <f>'Revenue-Detail'!B305</f>
        <v>152883.82</v>
      </c>
    </row>
    <row r="216" spans="1:23" x14ac:dyDescent="0.25">
      <c r="U216" s="72">
        <f>U215-U212</f>
        <v>0</v>
      </c>
    </row>
  </sheetData>
  <autoFilter ref="A1:W212">
    <filterColumn colId="20">
      <filters blank="1">
        <filter val="(1,020.00)"/>
        <filter val="(1,440.00)"/>
        <filter val="(21,450.00)"/>
        <filter val="(4,838.27)"/>
        <filter val="(5,100.00)"/>
        <filter val="(700.00)"/>
        <filter val="(9,300.00)"/>
        <filter val="1,547.00"/>
        <filter val="1,615.44"/>
        <filter val="1,786.80"/>
        <filter val="1,906.97"/>
        <filter val="125.00"/>
        <filter val="134.80"/>
        <filter val="150.00"/>
        <filter val="152,883.82"/>
        <filter val="160.00"/>
        <filter val="17,767.86"/>
        <filter val="2,120.00"/>
        <filter val="2,314.00"/>
        <filter val="2,846.90"/>
        <filter val="2,988.64"/>
        <filter val="246.00"/>
        <filter val="3,000.00"/>
        <filter val="3,157.66"/>
        <filter val="3,220.36"/>
        <filter val="3,491.40"/>
        <filter val="3,500.00"/>
        <filter val="3,536.80"/>
        <filter val="3,652.60"/>
        <filter val="320.80"/>
        <filter val="370.00"/>
        <filter val="4,070.00"/>
        <filter val="4,093.71"/>
        <filter val="4,425.00"/>
        <filter val="4,450.00"/>
        <filter val="4,610.89"/>
        <filter val="4,625.00"/>
        <filter val="4,645.02"/>
        <filter val="4,931.38"/>
        <filter val="45,300.00"/>
        <filter val="6,078.30"/>
        <filter val="6,164.00"/>
        <filter val="6,330.00"/>
        <filter val="678.22"/>
        <filter val="688.40"/>
        <filter val="7,600.00"/>
        <filter val="7,988.20"/>
        <filter val="700.00"/>
        <filter val="794.94"/>
        <filter val="8,200.00"/>
        <filter val="900.00"/>
      </filters>
    </filterColumn>
  </autoFilter>
  <sortState ref="A152:U159">
    <sortCondition ref="A152:A159"/>
  </sortState>
  <printOptions horizontalCentered="1" gridLines="1"/>
  <pageMargins left="0.25" right="0.25" top="1" bottom="0.75" header="0.5" footer="0.5"/>
  <pageSetup scale="46" orientation="landscape" r:id="rId1"/>
  <headerFooter scaleWithDoc="0" alignWithMargins="0">
    <oddHeader>&amp;L&amp;F
&amp;R&amp;A</oddHeader>
    <oddFooter>&amp;L&amp;8&amp;Z&amp;F&amp;R&amp;D</oddFooter>
  </headerFooter>
  <rowBreaks count="1" manualBreakCount="1">
    <brk id="99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U75"/>
  <sheetViews>
    <sheetView zoomScale="75" zoomScaleNormal="75" zoomScaleSheetLayoutView="100" workbookViewId="0">
      <pane ySplit="1" topLeftCell="A2" activePane="bottomLeft" state="frozen"/>
      <selection activeCell="J131" sqref="J131"/>
      <selection pane="bottomLeft" activeCell="A2" sqref="A2"/>
    </sheetView>
  </sheetViews>
  <sheetFormatPr defaultColWidth="9.140625" defaultRowHeight="30" customHeight="1" x14ac:dyDescent="0.2"/>
  <cols>
    <col min="1" max="1" width="32.28515625" style="49" customWidth="1"/>
    <col min="2" max="2" width="22.28515625" style="32" bestFit="1" customWidth="1"/>
    <col min="3" max="3" width="20.5703125" style="32" bestFit="1" customWidth="1"/>
    <col min="4" max="4" width="16.5703125" style="32" bestFit="1" customWidth="1"/>
    <col min="5" max="5" width="19" style="32" bestFit="1" customWidth="1"/>
    <col min="6" max="6" width="19.42578125" style="32" bestFit="1" customWidth="1"/>
    <col min="7" max="7" width="17.140625" style="32" hidden="1" customWidth="1"/>
    <col min="8" max="8" width="16.5703125" style="32" hidden="1" customWidth="1"/>
    <col min="9" max="9" width="18.42578125" style="32" hidden="1" customWidth="1"/>
    <col min="10" max="10" width="19.42578125" style="32" bestFit="1" customWidth="1"/>
    <col min="11" max="11" width="19.42578125" style="32" customWidth="1"/>
    <col min="12" max="12" width="16.5703125" style="32" hidden="1" customWidth="1"/>
    <col min="13" max="13" width="18" style="32" hidden="1" customWidth="1"/>
    <col min="14" max="14" width="17.7109375" style="32" bestFit="1" customWidth="1"/>
    <col min="15" max="15" width="18" style="32" bestFit="1" customWidth="1"/>
    <col min="16" max="16" width="16.5703125" style="32" customWidth="1"/>
    <col min="17" max="17" width="15.140625" style="32" hidden="1" customWidth="1"/>
    <col min="18" max="18" width="19.42578125" style="32" customWidth="1"/>
    <col min="19" max="19" width="22" style="32" hidden="1" customWidth="1"/>
    <col min="20" max="20" width="13.42578125" style="32" hidden="1" customWidth="1"/>
    <col min="21" max="21" width="21.28515625" style="32" customWidth="1"/>
    <col min="22" max="22" width="34" style="59" bestFit="1" customWidth="1"/>
    <col min="23" max="16384" width="9.140625" style="59"/>
  </cols>
  <sheetData>
    <row r="1" spans="1:21" s="57" customFormat="1" ht="30" customHeight="1" x14ac:dyDescent="0.2">
      <c r="A1" s="56" t="s">
        <v>258</v>
      </c>
      <c r="B1" s="57" t="s">
        <v>259</v>
      </c>
      <c r="C1" s="57">
        <v>6100</v>
      </c>
      <c r="D1" s="57">
        <v>6200</v>
      </c>
      <c r="E1" s="57">
        <v>6300</v>
      </c>
      <c r="F1" s="57">
        <v>6400</v>
      </c>
      <c r="G1" s="57" t="s">
        <v>262</v>
      </c>
      <c r="H1" s="57" t="s">
        <v>439</v>
      </c>
      <c r="I1" s="57" t="s">
        <v>440</v>
      </c>
      <c r="J1" s="57">
        <v>7300</v>
      </c>
      <c r="K1" s="57" t="s">
        <v>260</v>
      </c>
      <c r="L1" s="57" t="s">
        <v>265</v>
      </c>
      <c r="M1" s="57" t="s">
        <v>261</v>
      </c>
      <c r="N1" s="57" t="s">
        <v>441</v>
      </c>
      <c r="O1" s="57">
        <v>7900</v>
      </c>
      <c r="P1" s="57">
        <v>8100</v>
      </c>
      <c r="Q1" s="57" t="s">
        <v>263</v>
      </c>
      <c r="R1" s="57" t="s">
        <v>442</v>
      </c>
      <c r="S1" s="57" t="s">
        <v>513</v>
      </c>
      <c r="T1" s="57" t="s">
        <v>269</v>
      </c>
      <c r="U1" s="64" t="s">
        <v>264</v>
      </c>
    </row>
    <row r="2" spans="1:21" s="58" customFormat="1" ht="45" customHeight="1" x14ac:dyDescent="0.2">
      <c r="A2" s="31" t="s">
        <v>530</v>
      </c>
      <c r="B2" s="32">
        <f>30597.26+111.54+150</f>
        <v>30858.799999999999</v>
      </c>
      <c r="C2" s="32"/>
      <c r="D2" s="32">
        <v>23.11</v>
      </c>
      <c r="E2" s="32"/>
      <c r="F2" s="32">
        <v>5205.32</v>
      </c>
      <c r="G2" s="32"/>
      <c r="H2" s="32"/>
      <c r="I2" s="32"/>
      <c r="J2" s="32">
        <v>-16872.939999999999</v>
      </c>
      <c r="K2" s="32">
        <v>-1759.34</v>
      </c>
      <c r="L2" s="32"/>
      <c r="M2" s="32"/>
      <c r="N2" s="32"/>
      <c r="O2" s="32">
        <v>646.21</v>
      </c>
      <c r="P2" s="32">
        <v>-11747.74</v>
      </c>
      <c r="Q2" s="32"/>
      <c r="R2" s="32">
        <v>-6353.42</v>
      </c>
      <c r="S2" s="32"/>
      <c r="T2" s="32"/>
      <c r="U2" s="32">
        <f t="shared" ref="U2:U49" si="0">SUM(B2:T2)</f>
        <v>0</v>
      </c>
    </row>
    <row r="3" spans="1:21" s="58" customFormat="1" ht="45" customHeight="1" x14ac:dyDescent="0.2">
      <c r="A3" s="31" t="s">
        <v>588</v>
      </c>
      <c r="B3" s="32">
        <v>-7991</v>
      </c>
      <c r="C3" s="32"/>
      <c r="D3" s="32"/>
      <c r="E3" s="32"/>
      <c r="F3" s="32">
        <v>7991</v>
      </c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>
        <f t="shared" si="0"/>
        <v>0</v>
      </c>
    </row>
    <row r="4" spans="1:21" s="58" customFormat="1" ht="45" customHeight="1" x14ac:dyDescent="0.2">
      <c r="A4" s="31" t="s">
        <v>590</v>
      </c>
      <c r="B4" s="32">
        <v>-27000</v>
      </c>
      <c r="C4" s="32"/>
      <c r="D4" s="32"/>
      <c r="E4" s="32"/>
      <c r="F4" s="32">
        <v>27000</v>
      </c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>
        <f t="shared" si="0"/>
        <v>0</v>
      </c>
    </row>
    <row r="5" spans="1:21" s="58" customFormat="1" ht="45" customHeight="1" x14ac:dyDescent="0.2">
      <c r="A5" s="31" t="s">
        <v>421</v>
      </c>
      <c r="B5" s="32">
        <v>-1687.41</v>
      </c>
      <c r="C5" s="32"/>
      <c r="D5" s="32"/>
      <c r="E5" s="32"/>
      <c r="F5" s="32"/>
      <c r="G5" s="32"/>
      <c r="H5" s="32"/>
      <c r="I5" s="32"/>
      <c r="J5" s="32"/>
      <c r="K5" s="32">
        <v>1687.41</v>
      </c>
      <c r="L5" s="32"/>
      <c r="M5" s="32"/>
      <c r="N5" s="32"/>
      <c r="O5" s="32"/>
      <c r="P5" s="32"/>
      <c r="Q5" s="32"/>
      <c r="R5" s="32"/>
      <c r="S5" s="32"/>
      <c r="T5" s="32"/>
      <c r="U5" s="32">
        <f t="shared" si="0"/>
        <v>0</v>
      </c>
    </row>
    <row r="6" spans="1:21" s="58" customFormat="1" ht="45" customHeight="1" x14ac:dyDescent="0.2">
      <c r="A6" s="31" t="s">
        <v>531</v>
      </c>
      <c r="B6" s="32">
        <f>84702.27-562.08</f>
        <v>84140.19</v>
      </c>
      <c r="C6" s="32"/>
      <c r="D6" s="32"/>
      <c r="E6" s="32"/>
      <c r="F6" s="32">
        <v>9375.56</v>
      </c>
      <c r="G6" s="32"/>
      <c r="H6" s="32"/>
      <c r="I6" s="32"/>
      <c r="J6" s="32">
        <f>4134.44+175</f>
        <v>4309.4399999999996</v>
      </c>
      <c r="K6" s="32">
        <v>5936.73</v>
      </c>
      <c r="L6" s="32"/>
      <c r="M6" s="32"/>
      <c r="N6" s="32"/>
      <c r="O6" s="32">
        <v>-1678.73</v>
      </c>
      <c r="P6" s="32"/>
      <c r="Q6" s="32"/>
      <c r="R6" s="32">
        <v>-102083.19</v>
      </c>
      <c r="S6" s="32"/>
      <c r="T6" s="32"/>
      <c r="U6" s="32">
        <f t="shared" si="0"/>
        <v>0</v>
      </c>
    </row>
    <row r="7" spans="1:21" s="58" customFormat="1" ht="45" customHeight="1" x14ac:dyDescent="0.2">
      <c r="A7" s="31" t="s">
        <v>589</v>
      </c>
      <c r="B7" s="32">
        <v>-8167.03</v>
      </c>
      <c r="C7" s="32"/>
      <c r="D7" s="32"/>
      <c r="E7" s="32">
        <v>8167.03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>
        <f t="shared" si="0"/>
        <v>0</v>
      </c>
    </row>
    <row r="8" spans="1:21" s="58" customFormat="1" ht="45" customHeight="1" x14ac:dyDescent="0.2">
      <c r="A8" s="31" t="s">
        <v>580</v>
      </c>
      <c r="B8" s="32">
        <v>-3499.65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>
        <v>3499.65</v>
      </c>
      <c r="O8" s="32"/>
      <c r="P8" s="32"/>
      <c r="Q8" s="32"/>
      <c r="R8" s="32"/>
      <c r="S8" s="32"/>
      <c r="T8" s="32"/>
      <c r="U8" s="32">
        <f t="shared" si="0"/>
        <v>0</v>
      </c>
    </row>
    <row r="9" spans="1:21" s="58" customFormat="1" ht="45" customHeight="1" x14ac:dyDescent="0.2">
      <c r="A9" s="31" t="s">
        <v>592</v>
      </c>
      <c r="B9" s="32"/>
      <c r="C9" s="32"/>
      <c r="D9" s="32"/>
      <c r="E9" s="32"/>
      <c r="F9" s="32"/>
      <c r="G9" s="32"/>
      <c r="H9" s="32"/>
      <c r="I9" s="32"/>
      <c r="J9" s="32"/>
      <c r="K9" s="32">
        <v>4000</v>
      </c>
      <c r="L9" s="32"/>
      <c r="M9" s="32"/>
      <c r="N9" s="32"/>
      <c r="O9" s="32"/>
      <c r="P9" s="32"/>
      <c r="Q9" s="32"/>
      <c r="R9" s="32">
        <v>-4000</v>
      </c>
      <c r="S9" s="32"/>
      <c r="T9" s="32"/>
      <c r="U9" s="32">
        <f t="shared" si="0"/>
        <v>0</v>
      </c>
    </row>
    <row r="10" spans="1:21" s="58" customFormat="1" ht="45" customHeight="1" x14ac:dyDescent="0.2">
      <c r="A10" s="31" t="s">
        <v>591</v>
      </c>
      <c r="B10" s="32">
        <v>-11335</v>
      </c>
      <c r="C10" s="32"/>
      <c r="D10" s="32"/>
      <c r="E10" s="32">
        <v>11335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>
        <f t="shared" si="0"/>
        <v>0</v>
      </c>
    </row>
    <row r="11" spans="1:21" s="58" customFormat="1" ht="45" customHeight="1" x14ac:dyDescent="0.2">
      <c r="A11" s="31" t="s">
        <v>587</v>
      </c>
      <c r="B11" s="32">
        <v>-7030.84</v>
      </c>
      <c r="C11" s="32"/>
      <c r="D11" s="32"/>
      <c r="E11" s="32"/>
      <c r="F11" s="32">
        <v>7030.84</v>
      </c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>
        <f t="shared" si="0"/>
        <v>0</v>
      </c>
    </row>
    <row r="12" spans="1:21" s="58" customFormat="1" ht="45" customHeight="1" x14ac:dyDescent="0.2">
      <c r="A12" s="31" t="s">
        <v>528</v>
      </c>
      <c r="B12" s="32">
        <f>-117843+25625</f>
        <v>-92218</v>
      </c>
      <c r="C12" s="32"/>
      <c r="D12" s="32">
        <v>27264</v>
      </c>
      <c r="E12" s="32">
        <v>64954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>
        <f t="shared" si="0"/>
        <v>0</v>
      </c>
    </row>
    <row r="13" spans="1:21" s="58" customFormat="1" ht="45" customHeight="1" x14ac:dyDescent="0.2">
      <c r="A13" s="31" t="s">
        <v>593</v>
      </c>
      <c r="B13" s="32">
        <v>-20728.38</v>
      </c>
      <c r="C13" s="32"/>
      <c r="D13" s="32"/>
      <c r="E13" s="32"/>
      <c r="F13" s="32">
        <v>5728.38</v>
      </c>
      <c r="G13" s="32"/>
      <c r="H13" s="32"/>
      <c r="I13" s="32"/>
      <c r="J13" s="32"/>
      <c r="K13" s="32">
        <v>15000</v>
      </c>
      <c r="L13" s="32"/>
      <c r="M13" s="32"/>
      <c r="N13" s="32"/>
      <c r="O13" s="32"/>
      <c r="P13" s="32"/>
      <c r="Q13" s="32"/>
      <c r="R13" s="32"/>
      <c r="S13" s="32"/>
      <c r="T13" s="32"/>
      <c r="U13" s="32">
        <f t="shared" si="0"/>
        <v>0</v>
      </c>
    </row>
    <row r="14" spans="1:21" s="58" customFormat="1" ht="45" customHeight="1" x14ac:dyDescent="0.2">
      <c r="A14" s="31" t="s">
        <v>594</v>
      </c>
      <c r="B14" s="32">
        <v>15340.03</v>
      </c>
      <c r="C14" s="32">
        <v>23.76</v>
      </c>
      <c r="D14" s="32"/>
      <c r="E14" s="32"/>
      <c r="F14" s="32"/>
      <c r="G14" s="32"/>
      <c r="H14" s="32"/>
      <c r="I14" s="32"/>
      <c r="J14" s="32">
        <v>-15363.79</v>
      </c>
      <c r="K14" s="32"/>
      <c r="L14" s="32"/>
      <c r="M14" s="32"/>
      <c r="N14" s="32"/>
      <c r="O14" s="32">
        <v>-2129.91</v>
      </c>
      <c r="P14" s="32">
        <v>2129.91</v>
      </c>
      <c r="Q14" s="32"/>
      <c r="R14" s="32"/>
      <c r="S14" s="32"/>
      <c r="T14" s="32"/>
      <c r="U14" s="32">
        <f t="shared" si="0"/>
        <v>0</v>
      </c>
    </row>
    <row r="15" spans="1:21" s="58" customFormat="1" ht="15" hidden="1" customHeight="1" x14ac:dyDescent="0.2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>
        <f t="shared" si="0"/>
        <v>0</v>
      </c>
    </row>
    <row r="16" spans="1:21" s="58" customFormat="1" ht="15" hidden="1" customHeight="1" x14ac:dyDescent="0.2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>
        <f t="shared" si="0"/>
        <v>0</v>
      </c>
    </row>
    <row r="17" spans="1:21" s="58" customFormat="1" ht="15" hidden="1" customHeight="1" x14ac:dyDescent="0.2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>
        <f t="shared" si="0"/>
        <v>0</v>
      </c>
    </row>
    <row r="18" spans="1:21" s="58" customFormat="1" ht="15" hidden="1" customHeight="1" x14ac:dyDescent="0.2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>
        <f t="shared" si="0"/>
        <v>0</v>
      </c>
    </row>
    <row r="19" spans="1:21" s="58" customFormat="1" ht="15" hidden="1" customHeight="1" x14ac:dyDescent="0.2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>
        <f t="shared" si="0"/>
        <v>0</v>
      </c>
    </row>
    <row r="20" spans="1:21" s="58" customFormat="1" ht="15" hidden="1" customHeight="1" x14ac:dyDescent="0.2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>
        <f t="shared" si="0"/>
        <v>0</v>
      </c>
    </row>
    <row r="21" spans="1:21" s="58" customFormat="1" ht="15" hidden="1" customHeight="1" x14ac:dyDescent="0.2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>
        <f t="shared" si="0"/>
        <v>0</v>
      </c>
    </row>
    <row r="22" spans="1:21" s="58" customFormat="1" ht="15" hidden="1" customHeight="1" x14ac:dyDescent="0.2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>
        <f t="shared" si="0"/>
        <v>0</v>
      </c>
    </row>
    <row r="23" spans="1:21" s="58" customFormat="1" ht="15" hidden="1" customHeight="1" x14ac:dyDescent="0.2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>
        <f t="shared" si="0"/>
        <v>0</v>
      </c>
    </row>
    <row r="24" spans="1:21" s="58" customFormat="1" ht="15" hidden="1" customHeight="1" x14ac:dyDescent="0.2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>
        <f t="shared" si="0"/>
        <v>0</v>
      </c>
    </row>
    <row r="25" spans="1:21" s="58" customFormat="1" ht="15" hidden="1" customHeight="1" x14ac:dyDescent="0.2">
      <c r="A25" s="31"/>
      <c r="B25" s="32"/>
      <c r="C25" s="32"/>
      <c r="D25" s="32"/>
      <c r="E25" s="32"/>
      <c r="F25" s="32"/>
      <c r="G25" s="32"/>
      <c r="H25" s="55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>
        <f t="shared" si="0"/>
        <v>0</v>
      </c>
    </row>
    <row r="26" spans="1:21" s="58" customFormat="1" ht="15" hidden="1" customHeight="1" x14ac:dyDescent="0.2">
      <c r="A26" s="3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>
        <f t="shared" si="0"/>
        <v>0</v>
      </c>
    </row>
    <row r="27" spans="1:21" s="58" customFormat="1" ht="14.25" hidden="1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>
        <f t="shared" si="0"/>
        <v>0</v>
      </c>
    </row>
    <row r="28" spans="1:21" s="58" customFormat="1" ht="15" hidden="1" customHeight="1" x14ac:dyDescent="0.2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>
        <f t="shared" si="0"/>
        <v>0</v>
      </c>
    </row>
    <row r="29" spans="1:21" s="58" customFormat="1" ht="14.25" hidden="1" customHeight="1" x14ac:dyDescent="0.2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>
        <f t="shared" si="0"/>
        <v>0</v>
      </c>
    </row>
    <row r="30" spans="1:21" s="58" customFormat="1" ht="15" hidden="1" customHeight="1" x14ac:dyDescent="0.2">
      <c r="A30" s="31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>
        <f t="shared" si="0"/>
        <v>0</v>
      </c>
    </row>
    <row r="31" spans="1:21" s="58" customFormat="1" ht="15" hidden="1" customHeight="1" x14ac:dyDescent="0.2">
      <c r="A31" s="31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>
        <f t="shared" si="0"/>
        <v>0</v>
      </c>
    </row>
    <row r="32" spans="1:21" s="58" customFormat="1" ht="15" hidden="1" customHeight="1" x14ac:dyDescent="0.2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>
        <f t="shared" si="0"/>
        <v>0</v>
      </c>
    </row>
    <row r="33" spans="1:21" s="58" customFormat="1" ht="15" hidden="1" customHeight="1" x14ac:dyDescent="0.2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>
        <f t="shared" si="0"/>
        <v>0</v>
      </c>
    </row>
    <row r="34" spans="1:21" s="58" customFormat="1" ht="15" hidden="1" customHeight="1" x14ac:dyDescent="0.2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>
        <f t="shared" si="0"/>
        <v>0</v>
      </c>
    </row>
    <row r="35" spans="1:21" s="58" customFormat="1" ht="15" hidden="1" customHeight="1" x14ac:dyDescent="0.2">
      <c r="A35" s="31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>
        <f t="shared" si="0"/>
        <v>0</v>
      </c>
    </row>
    <row r="36" spans="1:21" s="58" customFormat="1" ht="15" hidden="1" customHeight="1" x14ac:dyDescent="0.2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>
        <f t="shared" si="0"/>
        <v>0</v>
      </c>
    </row>
    <row r="37" spans="1:21" s="58" customFormat="1" ht="15" hidden="1" customHeight="1" x14ac:dyDescent="0.2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>
        <f t="shared" si="0"/>
        <v>0</v>
      </c>
    </row>
    <row r="38" spans="1:21" s="58" customFormat="1" ht="15" hidden="1" customHeight="1" x14ac:dyDescent="0.2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>
        <f t="shared" si="0"/>
        <v>0</v>
      </c>
    </row>
    <row r="39" spans="1:21" s="58" customFormat="1" ht="14.25" hidden="1" customHeight="1" x14ac:dyDescent="0.2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>
        <f t="shared" si="0"/>
        <v>0</v>
      </c>
    </row>
    <row r="40" spans="1:21" s="58" customFormat="1" ht="15" hidden="1" customHeight="1" x14ac:dyDescent="0.2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>
        <f t="shared" si="0"/>
        <v>0</v>
      </c>
    </row>
    <row r="41" spans="1:21" s="58" customFormat="1" ht="15" hidden="1" customHeight="1" x14ac:dyDescent="0.2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>
        <f t="shared" si="0"/>
        <v>0</v>
      </c>
    </row>
    <row r="42" spans="1:21" s="58" customFormat="1" ht="15" hidden="1" customHeight="1" x14ac:dyDescent="0.2">
      <c r="A42" s="31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>
        <f t="shared" si="0"/>
        <v>0</v>
      </c>
    </row>
    <row r="43" spans="1:21" s="58" customFormat="1" ht="15" hidden="1" customHeight="1" x14ac:dyDescent="0.2">
      <c r="A43" s="31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>
        <f t="shared" si="0"/>
        <v>0</v>
      </c>
    </row>
    <row r="44" spans="1:21" s="58" customFormat="1" ht="15" hidden="1" customHeight="1" x14ac:dyDescent="0.2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>
        <f t="shared" si="0"/>
        <v>0</v>
      </c>
    </row>
    <row r="45" spans="1:21" s="58" customFormat="1" ht="15" hidden="1" customHeight="1" x14ac:dyDescent="0.2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>
        <f t="shared" si="0"/>
        <v>0</v>
      </c>
    </row>
    <row r="46" spans="1:21" s="58" customFormat="1" ht="15" hidden="1" customHeight="1" x14ac:dyDescent="0.2">
      <c r="A46" s="31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>
        <f t="shared" si="0"/>
        <v>0</v>
      </c>
    </row>
    <row r="47" spans="1:21" s="58" customFormat="1" ht="15" hidden="1" customHeight="1" x14ac:dyDescent="0.2">
      <c r="A47" s="31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>
        <f t="shared" si="0"/>
        <v>0</v>
      </c>
    </row>
    <row r="48" spans="1:21" s="58" customFormat="1" ht="14.25" hidden="1" customHeight="1" x14ac:dyDescent="0.2">
      <c r="A48" s="31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>
        <f t="shared" si="0"/>
        <v>0</v>
      </c>
    </row>
    <row r="49" spans="1:21" s="58" customFormat="1" ht="15" customHeight="1" x14ac:dyDescent="0.2">
      <c r="A49" s="31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>
        <f t="shared" si="0"/>
        <v>0</v>
      </c>
    </row>
    <row r="50" spans="1:21" s="58" customFormat="1" ht="15" hidden="1" customHeight="1" x14ac:dyDescent="0.2">
      <c r="A50" s="31" t="s">
        <v>530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>
        <f t="shared" ref="U50:U69" si="1">SUM(B50:T50)</f>
        <v>0</v>
      </c>
    </row>
    <row r="51" spans="1:21" s="58" customFormat="1" ht="15" hidden="1" customHeight="1" x14ac:dyDescent="0.2">
      <c r="A51" s="31" t="s">
        <v>531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>
        <f t="shared" si="1"/>
        <v>0</v>
      </c>
    </row>
    <row r="52" spans="1:21" s="58" customFormat="1" ht="15" hidden="1" customHeight="1" x14ac:dyDescent="0.2">
      <c r="A52" s="31" t="s">
        <v>531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>
        <f t="shared" si="1"/>
        <v>0</v>
      </c>
    </row>
    <row r="53" spans="1:21" s="58" customFormat="1" ht="15" hidden="1" customHeight="1" x14ac:dyDescent="0.2">
      <c r="A53" s="31" t="s">
        <v>529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>
        <f t="shared" ref="U53" si="2">SUM(B53:T53)</f>
        <v>0</v>
      </c>
    </row>
    <row r="54" spans="1:21" s="58" customFormat="1" ht="15" hidden="1" customHeight="1" x14ac:dyDescent="0.2">
      <c r="A54" s="31" t="s">
        <v>531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>
        <f t="shared" si="1"/>
        <v>0</v>
      </c>
    </row>
    <row r="55" spans="1:21" s="58" customFormat="1" ht="15" hidden="1" customHeight="1" x14ac:dyDescent="0.2">
      <c r="A55" s="53" t="s">
        <v>530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>
        <f t="shared" si="1"/>
        <v>0</v>
      </c>
    </row>
    <row r="56" spans="1:21" s="58" customFormat="1" ht="15" hidden="1" customHeight="1" x14ac:dyDescent="0.2">
      <c r="A56" s="53" t="s">
        <v>530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>
        <f t="shared" si="1"/>
        <v>0</v>
      </c>
    </row>
    <row r="57" spans="1:21" s="58" customFormat="1" ht="15" hidden="1" customHeight="1" x14ac:dyDescent="0.2">
      <c r="A57" s="31" t="s">
        <v>530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>
        <f t="shared" si="1"/>
        <v>0</v>
      </c>
    </row>
    <row r="58" spans="1:21" s="58" customFormat="1" ht="15" hidden="1" customHeight="1" x14ac:dyDescent="0.2">
      <c r="A58" s="49" t="s">
        <v>528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114"/>
      <c r="P58" s="32"/>
      <c r="Q58" s="32"/>
      <c r="R58" s="32"/>
      <c r="S58" s="32"/>
      <c r="T58" s="32"/>
      <c r="U58" s="32">
        <f t="shared" si="1"/>
        <v>0</v>
      </c>
    </row>
    <row r="59" spans="1:21" s="58" customFormat="1" ht="15" hidden="1" customHeight="1" x14ac:dyDescent="0.2">
      <c r="A59" s="49" t="s">
        <v>529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>
        <f t="shared" si="1"/>
        <v>0</v>
      </c>
    </row>
    <row r="60" spans="1:21" s="58" customFormat="1" ht="15" hidden="1" customHeight="1" x14ac:dyDescent="0.2">
      <c r="A60" s="31" t="s">
        <v>531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>
        <f t="shared" si="1"/>
        <v>0</v>
      </c>
    </row>
    <row r="61" spans="1:21" s="58" customFormat="1" ht="15" hidden="1" customHeight="1" x14ac:dyDescent="0.2">
      <c r="A61" s="31" t="s">
        <v>530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>
        <f t="shared" si="1"/>
        <v>0</v>
      </c>
    </row>
    <row r="62" spans="1:21" s="58" customFormat="1" ht="15" hidden="1" customHeight="1" x14ac:dyDescent="0.2">
      <c r="A62" s="31" t="s">
        <v>530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>
        <f t="shared" si="1"/>
        <v>0</v>
      </c>
    </row>
    <row r="63" spans="1:21" s="58" customFormat="1" ht="15" hidden="1" customHeight="1" x14ac:dyDescent="0.2">
      <c r="A63" s="31" t="s">
        <v>529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>
        <f t="shared" si="1"/>
        <v>0</v>
      </c>
    </row>
    <row r="64" spans="1:21" s="58" customFormat="1" ht="15" hidden="1" customHeight="1" x14ac:dyDescent="0.2">
      <c r="A64" s="31" t="s">
        <v>543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>
        <f t="shared" si="1"/>
        <v>0</v>
      </c>
    </row>
    <row r="65" spans="1:21" s="58" customFormat="1" ht="15" hidden="1" customHeight="1" x14ac:dyDescent="0.2">
      <c r="A65" s="31" t="s">
        <v>530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>
        <f t="shared" si="1"/>
        <v>0</v>
      </c>
    </row>
    <row r="66" spans="1:21" s="58" customFormat="1" ht="15" hidden="1" customHeight="1" x14ac:dyDescent="0.2">
      <c r="A66" s="31" t="s">
        <v>548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>
        <f t="shared" si="1"/>
        <v>0</v>
      </c>
    </row>
    <row r="67" spans="1:21" s="58" customFormat="1" ht="15" hidden="1" customHeight="1" x14ac:dyDescent="0.2">
      <c r="A67" s="31" t="s">
        <v>528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>
        <f t="shared" si="1"/>
        <v>0</v>
      </c>
    </row>
    <row r="68" spans="1:21" s="58" customFormat="1" ht="15" hidden="1" customHeight="1" x14ac:dyDescent="0.2">
      <c r="A68" s="31" t="s">
        <v>546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>
        <f t="shared" si="1"/>
        <v>0</v>
      </c>
    </row>
    <row r="69" spans="1:21" s="58" customFormat="1" ht="15" hidden="1" customHeight="1" x14ac:dyDescent="0.2">
      <c r="A69" s="31" t="s">
        <v>547</v>
      </c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>
        <f t="shared" si="1"/>
        <v>0</v>
      </c>
    </row>
    <row r="70" spans="1:21" s="58" customFormat="1" ht="15" hidden="1" customHeight="1" x14ac:dyDescent="0.2">
      <c r="A70" s="31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>
        <f>SUM(B70:T70)</f>
        <v>0</v>
      </c>
    </row>
    <row r="71" spans="1:21" s="58" customFormat="1" ht="15" hidden="1" customHeight="1" x14ac:dyDescent="0.2">
      <c r="A71" s="31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</row>
    <row r="72" spans="1:21" s="62" customFormat="1" ht="30" customHeight="1" thickBot="1" x14ac:dyDescent="0.25">
      <c r="A72" s="60"/>
      <c r="B72" s="61">
        <f t="shared" ref="B72:T72" si="3">SUBTOTAL(9,B2:B70)</f>
        <v>-49318.289999999994</v>
      </c>
      <c r="C72" s="61">
        <f t="shared" si="3"/>
        <v>23.76</v>
      </c>
      <c r="D72" s="61">
        <f t="shared" si="3"/>
        <v>27287.11</v>
      </c>
      <c r="E72" s="61">
        <f t="shared" si="3"/>
        <v>84456.03</v>
      </c>
      <c r="F72" s="61">
        <f t="shared" si="3"/>
        <v>62331.1</v>
      </c>
      <c r="G72" s="61">
        <f t="shared" si="3"/>
        <v>0</v>
      </c>
      <c r="H72" s="61">
        <f t="shared" si="3"/>
        <v>0</v>
      </c>
      <c r="I72" s="61">
        <f t="shared" si="3"/>
        <v>0</v>
      </c>
      <c r="J72" s="61">
        <f t="shared" si="3"/>
        <v>-27927.29</v>
      </c>
      <c r="K72" s="61">
        <f t="shared" si="3"/>
        <v>24864.799999999999</v>
      </c>
      <c r="L72" s="61">
        <f t="shared" si="3"/>
        <v>0</v>
      </c>
      <c r="M72" s="61">
        <f t="shared" si="3"/>
        <v>0</v>
      </c>
      <c r="N72" s="61">
        <f t="shared" si="3"/>
        <v>3499.65</v>
      </c>
      <c r="O72" s="61">
        <f t="shared" si="3"/>
        <v>-3162.43</v>
      </c>
      <c r="P72" s="61">
        <f t="shared" si="3"/>
        <v>-9617.83</v>
      </c>
      <c r="Q72" s="61">
        <f t="shared" si="3"/>
        <v>0</v>
      </c>
      <c r="R72" s="61">
        <f t="shared" si="3"/>
        <v>-112436.61</v>
      </c>
      <c r="S72" s="61">
        <f t="shared" si="3"/>
        <v>0</v>
      </c>
      <c r="T72" s="61">
        <f t="shared" si="3"/>
        <v>0</v>
      </c>
      <c r="U72" s="109">
        <f>SUM(B72:T72)</f>
        <v>1.4551915228366852E-11</v>
      </c>
    </row>
    <row r="73" spans="1:21" s="32" customFormat="1" ht="30" customHeight="1" thickTop="1" thickBot="1" x14ac:dyDescent="0.25">
      <c r="A73" s="63"/>
      <c r="B73" s="32">
        <f>APPROPRIATIONS!G3</f>
        <v>-49318.289999991655</v>
      </c>
      <c r="C73" s="32">
        <f>APPROPRIATIONS!G4</f>
        <v>23.759999997913837</v>
      </c>
      <c r="D73" s="32">
        <f>APPROPRIATIONS!G5</f>
        <v>27287.109999999404</v>
      </c>
      <c r="E73" s="32">
        <f>APPROPRIATIONS!G6</f>
        <v>84456.029999999329</v>
      </c>
      <c r="F73" s="32">
        <f>APPROPRIATIONS!G7</f>
        <v>62331.099999999977</v>
      </c>
      <c r="G73" s="32">
        <f>APPROPRIATIONS!G8</f>
        <v>0</v>
      </c>
      <c r="H73" s="32">
        <f>APPROPRIATIONS!G9</f>
        <v>0</v>
      </c>
      <c r="I73" s="32">
        <f>APPROPRIATIONS!G10</f>
        <v>0</v>
      </c>
      <c r="J73" s="32">
        <f>APPROPRIATIONS!G11</f>
        <v>-27927.289999999106</v>
      </c>
      <c r="K73" s="32">
        <f>APPROPRIATIONS!G12</f>
        <v>24864.799999999814</v>
      </c>
      <c r="L73" s="32">
        <f>APPROPRIATIONS!G13</f>
        <v>0</v>
      </c>
      <c r="M73" s="32">
        <f>APPROPRIATIONS!G14</f>
        <v>0</v>
      </c>
      <c r="N73" s="32">
        <f>APPROPRIATIONS!G15</f>
        <v>3499.6500000003725</v>
      </c>
      <c r="O73" s="32">
        <f>APPROPRIATIONS!G16</f>
        <v>-3162.429999999702</v>
      </c>
      <c r="P73" s="32">
        <f>APPROPRIATIONS!G17</f>
        <v>-9617.8300000000745</v>
      </c>
      <c r="Q73" s="32">
        <f>APPROPRIATIONS!G18</f>
        <v>0</v>
      </c>
      <c r="R73" s="32">
        <f>APPROPRIATIONS!G19</f>
        <v>-112436.61000000034</v>
      </c>
      <c r="S73" s="32">
        <f>APPROPRIATIONS!G22</f>
        <v>5.9371814131736755E-9</v>
      </c>
      <c r="T73" s="32">
        <f>APPROPRIATIONS!G21</f>
        <v>0</v>
      </c>
      <c r="U73" s="109">
        <f>SUM(B73:T73)</f>
        <v>1.1874362826347351E-8</v>
      </c>
    </row>
    <row r="74" spans="1:21" s="32" customFormat="1" ht="30" customHeight="1" thickTop="1" thickBot="1" x14ac:dyDescent="0.25">
      <c r="A74" s="63"/>
      <c r="B74" s="32">
        <f t="shared" ref="B74:T74" si="4">B72-B73</f>
        <v>-8.3382474258542061E-9</v>
      </c>
      <c r="C74" s="32">
        <f t="shared" si="4"/>
        <v>2.0861641303326905E-9</v>
      </c>
      <c r="D74" s="32">
        <f t="shared" si="4"/>
        <v>5.9662852436304092E-10</v>
      </c>
      <c r="E74" s="32">
        <f t="shared" si="4"/>
        <v>6.6938810050487518E-10</v>
      </c>
      <c r="F74" s="32">
        <f t="shared" si="4"/>
        <v>0</v>
      </c>
      <c r="G74" s="32">
        <f t="shared" si="4"/>
        <v>0</v>
      </c>
      <c r="H74" s="32">
        <f t="shared" si="4"/>
        <v>0</v>
      </c>
      <c r="I74" s="32">
        <f t="shared" si="4"/>
        <v>0</v>
      </c>
      <c r="J74" s="32">
        <f t="shared" si="4"/>
        <v>-8.9494278654456139E-10</v>
      </c>
      <c r="K74" s="32">
        <f t="shared" si="4"/>
        <v>1.8553691916167736E-10</v>
      </c>
      <c r="L74" s="32">
        <f t="shared" si="4"/>
        <v>0</v>
      </c>
      <c r="M74" s="32">
        <f t="shared" si="4"/>
        <v>0</v>
      </c>
      <c r="N74" s="32">
        <f t="shared" si="4"/>
        <v>-3.7243808037601411E-10</v>
      </c>
      <c r="O74" s="32">
        <f t="shared" si="4"/>
        <v>-2.97859514830634E-10</v>
      </c>
      <c r="P74" s="32">
        <f t="shared" si="4"/>
        <v>7.4578565545380116E-11</v>
      </c>
      <c r="Q74" s="32">
        <f t="shared" si="4"/>
        <v>0</v>
      </c>
      <c r="R74" s="32">
        <f t="shared" si="4"/>
        <v>3.3469405025243759E-10</v>
      </c>
      <c r="S74" s="32">
        <f>S72+S73</f>
        <v>5.9371814131736755E-9</v>
      </c>
      <c r="T74" s="32">
        <f t="shared" si="4"/>
        <v>0</v>
      </c>
      <c r="U74" s="109">
        <f>SUM(B74:T74)</f>
        <v>-1.9316104271638324E-11</v>
      </c>
    </row>
    <row r="75" spans="1:21" ht="30" customHeight="1" thickTop="1" x14ac:dyDescent="0.2"/>
  </sheetData>
  <autoFilter ref="A1:U70">
    <sortState ref="A2:U49">
      <sortCondition ref="A2"/>
    </sortState>
  </autoFilter>
  <printOptions horizontalCentered="1" gridLines="1"/>
  <pageMargins left="0.25" right="0.25" top="0.75" bottom="0.75" header="0.5" footer="0.5"/>
  <pageSetup scale="56" orientation="landscape" r:id="rId1"/>
  <headerFooter scaleWithDoc="0" alignWithMargins="0">
    <oddHeader>&amp;L&amp;F
&amp;R&amp;A</oddHeader>
    <oddFooter>&amp;L&amp;8&amp;Z&amp;F&amp;R&amp;D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REVENUE</vt:lpstr>
      <vt:lpstr>APPROPRIATIONS</vt:lpstr>
      <vt:lpstr>APPROPRIATIONS-Detail</vt:lpstr>
      <vt:lpstr>Revenue-Detail</vt:lpstr>
      <vt:lpstr>INCREASE(DECREASE)</vt:lpstr>
      <vt:lpstr>MOVEMENT SUMMARY</vt:lpstr>
      <vt:lpstr>'INCREASE(DECREASE)'!OBJECT</vt:lpstr>
      <vt:lpstr>'MOVEMENT SUMMARY'!OBJECT</vt:lpstr>
      <vt:lpstr>APPROPRIATIONS!Print_Area</vt:lpstr>
      <vt:lpstr>'APPROPRIATIONS-Detail'!Print_Area</vt:lpstr>
      <vt:lpstr>'INCREASE(DECREASE)'!Print_Area</vt:lpstr>
      <vt:lpstr>'MOVEMENT SUMMARY'!Print_Area</vt:lpstr>
      <vt:lpstr>REVENUE!Print_Area</vt:lpstr>
      <vt:lpstr>APPROPRIATIONS!Print_Titles</vt:lpstr>
      <vt:lpstr>'APPROPRIATIONS-Detail'!Print_Titles</vt:lpstr>
      <vt:lpstr>'INCREASE(DECREASE)'!Print_Titles</vt:lpstr>
      <vt:lpstr>'MOVEMENT SUMMARY'!Print_Titles</vt:lpstr>
      <vt:lpstr>REVENUE!Print_Titles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AMENDMENT</dc:title>
  <dc:creator>Karen Leathers</dc:creator>
  <cp:lastModifiedBy>SJCSD User</cp:lastModifiedBy>
  <cp:lastPrinted>2017-11-27T20:39:35Z</cp:lastPrinted>
  <dcterms:created xsi:type="dcterms:W3CDTF">1998-06-29T20:35:37Z</dcterms:created>
  <dcterms:modified xsi:type="dcterms:W3CDTF">2017-12-04T13:51:30Z</dcterms:modified>
</cp:coreProperties>
</file>