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sjschools-my.sharepoint.com/personal/e000392_stjohns_k12_fl_us/Documents/Desktop/SJEA/2023-2024/Negotiation Session/9-6-2023/"/>
    </mc:Choice>
  </mc:AlternateContent>
  <xr:revisionPtr revIDLastSave="0" documentId="8_{250E4E11-CE44-4372-8993-ABD2BFA760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 Balance Compare WTB" sheetId="5" r:id="rId1"/>
    <sheet name="Fund Balance Comparison FINAL" sheetId="4" r:id="rId2"/>
    <sheet name="1. Fund Balance Comparison EST" sheetId="2" r:id="rId3"/>
    <sheet name="Sheet1" sheetId="3" r:id="rId4"/>
  </sheets>
  <definedNames>
    <definedName name="_xlnm.Print_Area" localSheetId="2">'1. Fund Balance Comparison EST'!$A$1:$J$45</definedName>
    <definedName name="_xlnm.Print_Area" localSheetId="0">'Fund Balance Compare WTB'!$A$1:$S$24</definedName>
    <definedName name="_xlnm.Print_Area" localSheetId="1">'Fund Balance Comparison FINAL'!$A$1:$J$45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5" l="1"/>
  <c r="P21" i="5"/>
  <c r="S12" i="5"/>
  <c r="K12" i="5"/>
  <c r="I12" i="5"/>
  <c r="R15" i="5"/>
  <c r="S8" i="5"/>
  <c r="R10" i="5"/>
  <c r="R12" i="5" s="1"/>
  <c r="S7" i="5"/>
  <c r="S14" i="5"/>
  <c r="S9" i="5"/>
  <c r="S5" i="5"/>
  <c r="R18" i="5"/>
  <c r="S18" i="5" s="1"/>
  <c r="R17" i="5"/>
  <c r="S17" i="5" s="1"/>
  <c r="R16" i="5"/>
  <c r="S16" i="5" s="1"/>
  <c r="Q16" i="5"/>
  <c r="Q17" i="5"/>
  <c r="Q18" i="5"/>
  <c r="Q10" i="5"/>
  <c r="S6" i="5" l="1"/>
  <c r="S10" i="5"/>
  <c r="S15" i="5"/>
  <c r="Q15" i="5"/>
  <c r="P8" i="5"/>
  <c r="P16" i="5" l="1"/>
  <c r="P17" i="5"/>
  <c r="P18" i="5"/>
  <c r="P5" i="5" l="1"/>
  <c r="P10" i="5" l="1"/>
  <c r="T10" i="5"/>
  <c r="O21" i="5"/>
  <c r="O18" i="5"/>
  <c r="O17" i="5"/>
  <c r="O16" i="5"/>
  <c r="O10" i="5"/>
  <c r="O15" i="5" s="1"/>
  <c r="P15" i="5" l="1"/>
  <c r="Q12" i="5"/>
  <c r="P12" i="5"/>
  <c r="G21" i="5"/>
  <c r="B10" i="5"/>
  <c r="B15" i="5" s="1"/>
  <c r="C10" i="5"/>
  <c r="C15" i="5" s="1"/>
  <c r="D10" i="5"/>
  <c r="E12" i="5" s="1"/>
  <c r="E10" i="5"/>
  <c r="E15" i="5" s="1"/>
  <c r="B18" i="5"/>
  <c r="C18" i="5"/>
  <c r="D18" i="5"/>
  <c r="E18" i="5"/>
  <c r="B17" i="5"/>
  <c r="C17" i="5"/>
  <c r="D17" i="5"/>
  <c r="E17" i="5"/>
  <c r="B16" i="5"/>
  <c r="C16" i="5"/>
  <c r="D16" i="5"/>
  <c r="E16" i="5"/>
  <c r="F10" i="5"/>
  <c r="F12" i="5" l="1"/>
  <c r="C12" i="5"/>
  <c r="D15" i="5"/>
  <c r="D12" i="5"/>
  <c r="N21" i="5"/>
  <c r="N18" i="5"/>
  <c r="N17" i="5"/>
  <c r="N16" i="5"/>
  <c r="N10" i="5"/>
  <c r="O12" i="5" s="1"/>
  <c r="N15" i="5" l="1"/>
  <c r="M21" i="5"/>
  <c r="L21" i="5"/>
  <c r="K21" i="5"/>
  <c r="J21" i="5"/>
  <c r="I21" i="5"/>
  <c r="H21" i="5"/>
  <c r="M18" i="5"/>
  <c r="L18" i="5"/>
  <c r="J18" i="5"/>
  <c r="I18" i="5"/>
  <c r="H18" i="5"/>
  <c r="G18" i="5"/>
  <c r="F18" i="5"/>
  <c r="M17" i="5"/>
  <c r="L17" i="5"/>
  <c r="K17" i="5"/>
  <c r="J17" i="5"/>
  <c r="I17" i="5"/>
  <c r="H17" i="5"/>
  <c r="G17" i="5"/>
  <c r="F17" i="5"/>
  <c r="M16" i="5"/>
  <c r="L16" i="5"/>
  <c r="J16" i="5"/>
  <c r="I16" i="5"/>
  <c r="H16" i="5"/>
  <c r="G16" i="5"/>
  <c r="F16" i="5"/>
  <c r="J10" i="5"/>
  <c r="J15" i="5" s="1"/>
  <c r="I10" i="5"/>
  <c r="I15" i="5" s="1"/>
  <c r="H10" i="5"/>
  <c r="H15" i="5" s="1"/>
  <c r="G10" i="5"/>
  <c r="F15" i="5"/>
  <c r="K8" i="5"/>
  <c r="K18" i="5" s="1"/>
  <c r="M7" i="5"/>
  <c r="L7" i="5"/>
  <c r="K7" i="5"/>
  <c r="L6" i="5"/>
  <c r="K6" i="5"/>
  <c r="G15" i="5" l="1"/>
  <c r="G12" i="5"/>
  <c r="L10" i="5"/>
  <c r="L15" i="5" s="1"/>
  <c r="K10" i="5"/>
  <c r="H12" i="5"/>
  <c r="M10" i="5"/>
  <c r="J12" i="5"/>
  <c r="K16" i="5"/>
  <c r="I28" i="4"/>
  <c r="I43" i="4"/>
  <c r="H43" i="4"/>
  <c r="I39" i="4"/>
  <c r="H39" i="4"/>
  <c r="G39" i="4"/>
  <c r="J31" i="4"/>
  <c r="I38" i="4"/>
  <c r="H30" i="4"/>
  <c r="H38" i="4" s="1"/>
  <c r="G30" i="4"/>
  <c r="G40" i="4" s="1"/>
  <c r="I29" i="4"/>
  <c r="J29" i="4" s="1"/>
  <c r="H29" i="4"/>
  <c r="G29" i="4"/>
  <c r="H28" i="4"/>
  <c r="H32" i="4" s="1"/>
  <c r="G28" i="4"/>
  <c r="G32" i="4" s="1"/>
  <c r="G37" i="4" s="1"/>
  <c r="J27" i="4"/>
  <c r="I21" i="4"/>
  <c r="H21" i="4"/>
  <c r="G21" i="4"/>
  <c r="G43" i="4" s="1"/>
  <c r="F21" i="4"/>
  <c r="E21" i="4"/>
  <c r="D21" i="4"/>
  <c r="C21" i="4"/>
  <c r="H18" i="4"/>
  <c r="F18" i="4"/>
  <c r="E18" i="4"/>
  <c r="D18" i="4"/>
  <c r="C18" i="4"/>
  <c r="B18" i="4"/>
  <c r="H17" i="4"/>
  <c r="G17" i="4"/>
  <c r="F17" i="4"/>
  <c r="E17" i="4"/>
  <c r="D17" i="4"/>
  <c r="C17" i="4"/>
  <c r="B17" i="4"/>
  <c r="I16" i="4"/>
  <c r="H16" i="4"/>
  <c r="F16" i="4"/>
  <c r="E16" i="4"/>
  <c r="D16" i="4"/>
  <c r="C16" i="4"/>
  <c r="B16" i="4"/>
  <c r="F10" i="4"/>
  <c r="F15" i="4" s="1"/>
  <c r="E10" i="4"/>
  <c r="E15" i="4" s="1"/>
  <c r="D10" i="4"/>
  <c r="D15" i="4" s="1"/>
  <c r="C10" i="4"/>
  <c r="C15" i="4" s="1"/>
  <c r="B10" i="4"/>
  <c r="B15" i="4" s="1"/>
  <c r="I18" i="4"/>
  <c r="J8" i="4"/>
  <c r="G8" i="4"/>
  <c r="G16" i="4" s="1"/>
  <c r="I7" i="4"/>
  <c r="H7" i="4"/>
  <c r="H10" i="4" s="1"/>
  <c r="H15" i="4" s="1"/>
  <c r="G7" i="4"/>
  <c r="I10" i="4"/>
  <c r="H6" i="4"/>
  <c r="G6" i="4"/>
  <c r="J5" i="4"/>
  <c r="K15" i="5" l="1"/>
  <c r="L12" i="5"/>
  <c r="G10" i="4"/>
  <c r="G15" i="4" s="1"/>
  <c r="G18" i="4"/>
  <c r="G38" i="4"/>
  <c r="N12" i="5"/>
  <c r="I32" i="4"/>
  <c r="I37" i="4" s="1"/>
  <c r="J7" i="4"/>
  <c r="M15" i="5"/>
  <c r="M12" i="5"/>
  <c r="J10" i="4"/>
  <c r="I15" i="4"/>
  <c r="I12" i="4"/>
  <c r="H37" i="4"/>
  <c r="H34" i="4"/>
  <c r="L32" i="4"/>
  <c r="C12" i="4"/>
  <c r="H40" i="4"/>
  <c r="J6" i="4"/>
  <c r="D12" i="4"/>
  <c r="H12" i="4"/>
  <c r="I40" i="4"/>
  <c r="J9" i="4"/>
  <c r="E12" i="4"/>
  <c r="I17" i="4"/>
  <c r="J28" i="4"/>
  <c r="J30" i="4"/>
  <c r="F12" i="4"/>
  <c r="G39" i="2"/>
  <c r="G30" i="2"/>
  <c r="G38" i="2" s="1"/>
  <c r="G29" i="2"/>
  <c r="G28" i="2"/>
  <c r="H30" i="2"/>
  <c r="H38" i="2" s="1"/>
  <c r="H29" i="2"/>
  <c r="H28" i="2"/>
  <c r="I43" i="2"/>
  <c r="H43" i="2"/>
  <c r="H40" i="2"/>
  <c r="H39" i="2"/>
  <c r="I31" i="2"/>
  <c r="J31" i="2" s="1"/>
  <c r="J30" i="2"/>
  <c r="I30" i="2"/>
  <c r="I29" i="2"/>
  <c r="I28" i="2"/>
  <c r="H32" i="2"/>
  <c r="L32" i="2" s="1"/>
  <c r="J27" i="2"/>
  <c r="G40" i="2" l="1"/>
  <c r="I34" i="4"/>
  <c r="G32" i="2"/>
  <c r="J29" i="2"/>
  <c r="I40" i="2"/>
  <c r="G12" i="4"/>
  <c r="J32" i="4"/>
  <c r="L34" i="4" s="1"/>
  <c r="J28" i="2"/>
  <c r="I32" i="2"/>
  <c r="J32" i="2" s="1"/>
  <c r="L33" i="4"/>
  <c r="G37" i="2"/>
  <c r="I34" i="2"/>
  <c r="H34" i="2"/>
  <c r="H37" i="2"/>
  <c r="I37" i="2"/>
  <c r="I39" i="2"/>
  <c r="I38" i="2"/>
  <c r="I9" i="2"/>
  <c r="J9" i="2" s="1"/>
  <c r="I8" i="2"/>
  <c r="I16" i="2" s="1"/>
  <c r="I7" i="2"/>
  <c r="I6" i="2"/>
  <c r="J5" i="2"/>
  <c r="I21" i="2"/>
  <c r="I18" i="2"/>
  <c r="J8" i="2" l="1"/>
  <c r="I10" i="2"/>
  <c r="I15" i="2" s="1"/>
  <c r="I17" i="2"/>
  <c r="C21" i="2"/>
  <c r="D21" i="2"/>
  <c r="E21" i="2"/>
  <c r="F21" i="2"/>
  <c r="G21" i="2"/>
  <c r="G43" i="2" s="1"/>
  <c r="H21" i="2"/>
  <c r="H7" i="2"/>
  <c r="J7" i="2" s="1"/>
  <c r="H6" i="2"/>
  <c r="J6" i="2" s="1"/>
  <c r="H18" i="2" l="1"/>
  <c r="H17" i="2"/>
  <c r="H16" i="2"/>
  <c r="H10" i="2" l="1"/>
  <c r="G8" i="2"/>
  <c r="I12" i="2" l="1"/>
  <c r="J10" i="2"/>
  <c r="L34" i="2" s="1"/>
  <c r="H15" i="2"/>
  <c r="G7" i="2" l="1"/>
  <c r="G6" i="2"/>
  <c r="G18" i="2"/>
  <c r="G17" i="2"/>
  <c r="G16" i="2"/>
  <c r="G10" i="2" l="1"/>
  <c r="H12" i="2"/>
  <c r="L33" i="2" s="1"/>
  <c r="G15" i="2"/>
  <c r="C17" i="2"/>
  <c r="D17" i="2"/>
  <c r="E17" i="2"/>
  <c r="F17" i="2"/>
  <c r="B17" i="2"/>
  <c r="C16" i="2"/>
  <c r="D16" i="2"/>
  <c r="E16" i="2"/>
  <c r="F16" i="2"/>
  <c r="B16" i="2"/>
  <c r="B18" i="2"/>
  <c r="D18" i="2"/>
  <c r="E18" i="2"/>
  <c r="F18" i="2"/>
  <c r="C18" i="2"/>
  <c r="E10" i="2" l="1"/>
  <c r="D10" i="2"/>
  <c r="C10" i="2"/>
  <c r="F10" i="2"/>
  <c r="B10" i="2"/>
  <c r="B15" i="2" s="1"/>
  <c r="F12" i="2" l="1"/>
  <c r="F15" i="2"/>
  <c r="G12" i="2"/>
  <c r="C12" i="2"/>
  <c r="C15" i="2"/>
  <c r="D12" i="2"/>
  <c r="D15" i="2"/>
  <c r="E12" i="2"/>
  <c r="E15" i="2"/>
</calcChain>
</file>

<file path=xl/sharedStrings.xml><?xml version="1.0" encoding="utf-8"?>
<sst xmlns="http://schemas.openxmlformats.org/spreadsheetml/2006/main" count="107" uniqueCount="27">
  <si>
    <t>Nonspendable</t>
  </si>
  <si>
    <t>Restricted</t>
  </si>
  <si>
    <t>Committed</t>
  </si>
  <si>
    <t xml:space="preserve">Assigned </t>
  </si>
  <si>
    <t>Unassigned</t>
  </si>
  <si>
    <t>Total</t>
  </si>
  <si>
    <t xml:space="preserve">General Fund Balance </t>
  </si>
  <si>
    <t xml:space="preserve">   % Total</t>
  </si>
  <si>
    <t xml:space="preserve">   % Assigned + Unassigned</t>
  </si>
  <si>
    <t xml:space="preserve">   % Assigned</t>
  </si>
  <si>
    <t xml:space="preserve">   % Unassigned</t>
  </si>
  <si>
    <t>(in thousands)</t>
  </si>
  <si>
    <t>Total Revenue</t>
  </si>
  <si>
    <t>Annual Increase/(Decrease)</t>
  </si>
  <si>
    <t>Delta</t>
  </si>
  <si>
    <t>Fiscal Year Ended June 30</t>
  </si>
  <si>
    <t>NA</t>
  </si>
  <si>
    <t>Budget Shortfall</t>
  </si>
  <si>
    <t xml:space="preserve">  YOY Change</t>
  </si>
  <si>
    <t>2018 est</t>
  </si>
  <si>
    <t>Fund 100 only no FCTC</t>
  </si>
  <si>
    <t>ties to PY</t>
  </si>
  <si>
    <t>ties to FCTC FB</t>
  </si>
  <si>
    <t xml:space="preserve">Note:  The District implemented GASB 54 for fiscal year ended June 30, 2011.  The fund balances from the prior fiscal years were restated for comparison purposes.  </t>
  </si>
  <si>
    <t xml:space="preserve">General Fund Balance  </t>
  </si>
  <si>
    <t>2023*</t>
  </si>
  <si>
    <t>*Unaudited Financial Statements - Working Trial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</si>
</sst>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42" fontId="0" fillId="0" borderId="0" xfId="0" applyNumberFormat="1"/>
    <xf numFmtId="42" fontId="0" fillId="0" borderId="0" xfId="1" applyNumberFormat="1" applyFont="1" applyFill="1" applyBorder="1"/>
    <xf numFmtId="0" fontId="0" fillId="0" borderId="4" xfId="0" applyBorder="1"/>
    <xf numFmtId="42" fontId="0" fillId="0" borderId="4" xfId="0" applyNumberFormat="1" applyBorder="1"/>
    <xf numFmtId="42" fontId="0" fillId="0" borderId="0" xfId="1" applyNumberFormat="1" applyFont="1" applyBorder="1"/>
    <xf numFmtId="164" fontId="0" fillId="0" borderId="0" xfId="1" applyNumberFormat="1" applyFont="1" applyBorder="1"/>
    <xf numFmtId="165" fontId="0" fillId="0" borderId="0" xfId="0" applyNumberFormat="1"/>
    <xf numFmtId="0" fontId="0" fillId="2" borderId="4" xfId="0" applyFill="1" applyBorder="1"/>
    <xf numFmtId="165" fontId="0" fillId="2" borderId="0" xfId="0" applyNumberFormat="1" applyFill="1"/>
    <xf numFmtId="42" fontId="2" fillId="0" borderId="4" xfId="0" applyNumberFormat="1" applyFont="1" applyBorder="1"/>
    <xf numFmtId="42" fontId="0" fillId="0" borderId="0" xfId="0" applyNumberFormat="1" applyAlignment="1">
      <alignment horizontal="center"/>
    </xf>
    <xf numFmtId="0" fontId="0" fillId="0" borderId="5" xfId="0" applyBorder="1"/>
    <xf numFmtId="0" fontId="0" fillId="0" borderId="0" xfId="0" quotePrefix="1" applyAlignment="1">
      <alignment horizontal="center"/>
    </xf>
    <xf numFmtId="42" fontId="0" fillId="0" borderId="0" xfId="0" quotePrefix="1" applyNumberFormat="1" applyAlignment="1">
      <alignment horizontal="center"/>
    </xf>
    <xf numFmtId="42" fontId="2" fillId="0" borderId="0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42" fontId="0" fillId="0" borderId="5" xfId="0" applyNumberFormat="1" applyBorder="1"/>
    <xf numFmtId="0" fontId="0" fillId="0" borderId="8" xfId="0" applyBorder="1"/>
    <xf numFmtId="0" fontId="2" fillId="0" borderId="5" xfId="0" applyFont="1" applyBorder="1" applyAlignment="1">
      <alignment horizontal="center"/>
    </xf>
    <xf numFmtId="5" fontId="0" fillId="0" borderId="0" xfId="0" applyNumberFormat="1" applyAlignment="1">
      <alignment horizontal="right"/>
    </xf>
    <xf numFmtId="165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5" fontId="0" fillId="0" borderId="5" xfId="0" applyNumberFormat="1" applyBorder="1" applyAlignment="1">
      <alignment horizontal="right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5" fontId="0" fillId="0" borderId="9" xfId="0" applyNumberFormat="1" applyBorder="1" applyAlignment="1">
      <alignment horizontal="right" vertical="center"/>
    </xf>
    <xf numFmtId="5" fontId="0" fillId="0" borderId="10" xfId="0" applyNumberForma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2" fontId="0" fillId="0" borderId="5" xfId="1" applyNumberFormat="1" applyFont="1" applyBorder="1"/>
    <xf numFmtId="164" fontId="0" fillId="0" borderId="5" xfId="1" applyNumberFormat="1" applyFont="1" applyBorder="1"/>
    <xf numFmtId="42" fontId="2" fillId="0" borderId="5" xfId="1" applyNumberFormat="1" applyFont="1" applyBorder="1"/>
    <xf numFmtId="42" fontId="0" fillId="0" borderId="5" xfId="0" quotePrefix="1" applyNumberFormat="1" applyBorder="1" applyAlignment="1">
      <alignment horizontal="center"/>
    </xf>
    <xf numFmtId="42" fontId="0" fillId="0" borderId="5" xfId="0" applyNumberFormat="1" applyBorder="1" applyAlignment="1">
      <alignment horizontal="center"/>
    </xf>
    <xf numFmtId="165" fontId="0" fillId="0" borderId="5" xfId="0" applyNumberFormat="1" applyBorder="1"/>
    <xf numFmtId="165" fontId="0" fillId="2" borderId="5" xfId="0" applyNumberFormat="1" applyFill="1" applyBorder="1"/>
    <xf numFmtId="165" fontId="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5" fontId="0" fillId="0" borderId="11" xfId="0" applyNumberFormat="1" applyBorder="1" applyAlignment="1">
      <alignment horizontal="right" vertical="center"/>
    </xf>
    <xf numFmtId="5" fontId="0" fillId="0" borderId="12" xfId="0" applyNumberFormat="1" applyBorder="1" applyAlignment="1">
      <alignment horizontal="right" vertical="center"/>
    </xf>
    <xf numFmtId="5" fontId="0" fillId="0" borderId="8" xfId="0" applyNumberFormat="1" applyBorder="1" applyAlignment="1">
      <alignment vertical="center"/>
    </xf>
    <xf numFmtId="0" fontId="3" fillId="0" borderId="3" xfId="0" applyFont="1" applyBorder="1"/>
    <xf numFmtId="0" fontId="4" fillId="0" borderId="5" xfId="0" applyFont="1" applyBorder="1"/>
    <xf numFmtId="0" fontId="2" fillId="0" borderId="5" xfId="0" applyFont="1" applyBorder="1"/>
    <xf numFmtId="5" fontId="0" fillId="0" borderId="13" xfId="0" applyNumberFormat="1" applyBorder="1" applyAlignment="1">
      <alignment horizontal="left" vertical="center"/>
    </xf>
    <xf numFmtId="5" fontId="0" fillId="0" borderId="14" xfId="0" applyNumberFormat="1" applyBorder="1" applyAlignment="1">
      <alignment horizontal="left" vertical="center"/>
    </xf>
    <xf numFmtId="5" fontId="0" fillId="0" borderId="7" xfId="0" applyNumberForma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42" fontId="0" fillId="0" borderId="4" xfId="1" applyNumberFormat="1" applyFont="1" applyBorder="1"/>
    <xf numFmtId="164" fontId="0" fillId="0" borderId="4" xfId="1" applyNumberFormat="1" applyFont="1" applyBorder="1"/>
    <xf numFmtId="42" fontId="2" fillId="0" borderId="4" xfId="1" applyNumberFormat="1" applyFont="1" applyBorder="1"/>
    <xf numFmtId="42" fontId="0" fillId="0" borderId="4" xfId="0" quotePrefix="1" applyNumberFormat="1" applyBorder="1" applyAlignment="1">
      <alignment horizontal="center"/>
    </xf>
    <xf numFmtId="42" fontId="0" fillId="0" borderId="4" xfId="0" applyNumberFormat="1" applyBorder="1" applyAlignment="1">
      <alignment horizontal="center"/>
    </xf>
    <xf numFmtId="165" fontId="0" fillId="0" borderId="4" xfId="0" applyNumberFormat="1" applyBorder="1"/>
    <xf numFmtId="165" fontId="0" fillId="2" borderId="4" xfId="0" applyNumberFormat="1" applyFill="1" applyBorder="1"/>
    <xf numFmtId="165" fontId="2" fillId="0" borderId="4" xfId="0" applyNumberFormat="1" applyFont="1" applyBorder="1" applyAlignment="1">
      <alignment vertical="center"/>
    </xf>
    <xf numFmtId="5" fontId="0" fillId="0" borderId="13" xfId="0" applyNumberFormat="1" applyBorder="1" applyAlignment="1">
      <alignment horizontal="right" vertical="center"/>
    </xf>
    <xf numFmtId="5" fontId="0" fillId="0" borderId="14" xfId="0" applyNumberFormat="1" applyBorder="1" applyAlignment="1">
      <alignment horizontal="right" vertical="center"/>
    </xf>
    <xf numFmtId="5" fontId="0" fillId="0" borderId="6" xfId="0" applyNumberFormat="1" applyBorder="1" applyAlignment="1">
      <alignment vertical="center"/>
    </xf>
    <xf numFmtId="0" fontId="0" fillId="0" borderId="1" xfId="0" applyBorder="1"/>
    <xf numFmtId="0" fontId="2" fillId="0" borderId="4" xfId="0" applyFont="1" applyBorder="1" applyAlignment="1">
      <alignment horizontal="center" wrapText="1"/>
    </xf>
    <xf numFmtId="0" fontId="6" fillId="0" borderId="0" xfId="0" applyFont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2" fontId="6" fillId="0" borderId="0" xfId="0" applyNumberFormat="1" applyFont="1"/>
    <xf numFmtId="42" fontId="6" fillId="0" borderId="0" xfId="1" applyNumberFormat="1" applyFont="1" applyBorder="1"/>
    <xf numFmtId="42" fontId="6" fillId="0" borderId="0" xfId="1" applyNumberFormat="1" applyFont="1" applyFill="1" applyBorder="1"/>
    <xf numFmtId="42" fontId="6" fillId="0" borderId="5" xfId="1" applyNumberFormat="1" applyFont="1" applyFill="1" applyBorder="1"/>
    <xf numFmtId="164" fontId="6" fillId="0" borderId="0" xfId="0" applyNumberFormat="1" applyFont="1"/>
    <xf numFmtId="164" fontId="6" fillId="0" borderId="0" xfId="1" applyNumberFormat="1" applyFont="1" applyBorder="1"/>
    <xf numFmtId="164" fontId="6" fillId="0" borderId="0" xfId="1" applyNumberFormat="1" applyFont="1" applyFill="1" applyBorder="1"/>
    <xf numFmtId="164" fontId="6" fillId="0" borderId="5" xfId="1" applyNumberFormat="1" applyFont="1" applyFill="1" applyBorder="1"/>
    <xf numFmtId="42" fontId="5" fillId="0" borderId="4" xfId="0" applyNumberFormat="1" applyFont="1" applyBorder="1"/>
    <xf numFmtId="42" fontId="5" fillId="0" borderId="0" xfId="1" applyNumberFormat="1" applyFont="1" applyBorder="1"/>
    <xf numFmtId="42" fontId="5" fillId="0" borderId="0" xfId="1" applyNumberFormat="1" applyFont="1" applyFill="1" applyBorder="1"/>
    <xf numFmtId="42" fontId="5" fillId="0" borderId="5" xfId="1" applyNumberFormat="1" applyFont="1" applyFill="1" applyBorder="1"/>
    <xf numFmtId="42" fontId="5" fillId="0" borderId="0" xfId="0" applyNumberFormat="1" applyFont="1"/>
    <xf numFmtId="42" fontId="6" fillId="0" borderId="0" xfId="0" quotePrefix="1" applyNumberFormat="1" applyFont="1" applyAlignment="1">
      <alignment horizontal="center"/>
    </xf>
    <xf numFmtId="42" fontId="6" fillId="0" borderId="5" xfId="0" quotePrefix="1" applyNumberFormat="1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42" fontId="6" fillId="0" borderId="4" xfId="0" applyNumberFormat="1" applyFont="1" applyBorder="1"/>
    <xf numFmtId="42" fontId="6" fillId="0" borderId="0" xfId="0" applyNumberFormat="1" applyFont="1" applyAlignment="1">
      <alignment horizontal="center"/>
    </xf>
    <xf numFmtId="42" fontId="6" fillId="0" borderId="5" xfId="0" applyNumberFormat="1" applyFont="1" applyBorder="1" applyAlignment="1">
      <alignment horizontal="center"/>
    </xf>
    <xf numFmtId="165" fontId="6" fillId="0" borderId="0" xfId="0" applyNumberFormat="1" applyFont="1"/>
    <xf numFmtId="165" fontId="6" fillId="0" borderId="5" xfId="0" applyNumberFormat="1" applyFont="1" applyBorder="1"/>
    <xf numFmtId="0" fontId="6" fillId="2" borderId="4" xfId="0" applyFont="1" applyFill="1" applyBorder="1"/>
    <xf numFmtId="165" fontId="6" fillId="2" borderId="0" xfId="0" applyNumberFormat="1" applyFont="1" applyFill="1"/>
    <xf numFmtId="165" fontId="6" fillId="2" borderId="5" xfId="0" applyNumberFormat="1" applyFont="1" applyFill="1" applyBorder="1"/>
    <xf numFmtId="165" fontId="5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5" fontId="6" fillId="0" borderId="4" xfId="0" applyNumberFormat="1" applyFont="1" applyBorder="1" applyAlignment="1">
      <alignment horizontal="left" vertical="center"/>
    </xf>
    <xf numFmtId="5" fontId="6" fillId="0" borderId="0" xfId="0" applyNumberFormat="1" applyFont="1" applyAlignment="1">
      <alignment horizontal="right" vertical="center"/>
    </xf>
    <xf numFmtId="5" fontId="6" fillId="0" borderId="5" xfId="0" applyNumberFormat="1" applyFont="1" applyBorder="1" applyAlignment="1">
      <alignment horizontal="right" vertical="center"/>
    </xf>
    <xf numFmtId="5" fontId="6" fillId="0" borderId="0" xfId="0" applyNumberFormat="1" applyFont="1" applyAlignment="1">
      <alignment horizontal="right"/>
    </xf>
    <xf numFmtId="5" fontId="6" fillId="0" borderId="0" xfId="0" applyNumberFormat="1" applyFont="1" applyAlignment="1">
      <alignment vertical="center"/>
    </xf>
    <xf numFmtId="5" fontId="6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/>
    <xf numFmtId="0" fontId="6" fillId="0" borderId="7" xfId="0" applyFont="1" applyBorder="1"/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vertical="center"/>
    </xf>
    <xf numFmtId="5" fontId="6" fillId="0" borderId="0" xfId="0" applyNumberFormat="1" applyFont="1" applyAlignment="1">
      <alignment horizontal="left" vertical="center"/>
    </xf>
    <xf numFmtId="0" fontId="6" fillId="0" borderId="4" xfId="0" applyFont="1" applyBorder="1" applyAlignment="1">
      <alignment wrapText="1"/>
    </xf>
    <xf numFmtId="0" fontId="6" fillId="0" borderId="24" xfId="0" applyFont="1" applyBorder="1"/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/>
    <xf numFmtId="0" fontId="5" fillId="0" borderId="4" xfId="0" applyFont="1" applyBorder="1" applyAlignment="1">
      <alignment vertical="center" wrapText="1"/>
    </xf>
    <xf numFmtId="165" fontId="5" fillId="0" borderId="0" xfId="0" applyNumberFormat="1" applyFont="1"/>
    <xf numFmtId="165" fontId="5" fillId="0" borderId="5" xfId="0" applyNumberFormat="1" applyFont="1" applyBorder="1"/>
    <xf numFmtId="0" fontId="5" fillId="0" borderId="25" xfId="0" applyFont="1" applyBorder="1"/>
    <xf numFmtId="0" fontId="5" fillId="0" borderId="26" xfId="0" applyFont="1" applyBorder="1" applyAlignment="1">
      <alignment horizontal="center"/>
    </xf>
    <xf numFmtId="42" fontId="6" fillId="0" borderId="26" xfId="0" applyNumberFormat="1" applyFont="1" applyBorder="1"/>
    <xf numFmtId="42" fontId="6" fillId="0" borderId="26" xfId="0" quotePrefix="1" applyNumberFormat="1" applyFont="1" applyBorder="1" applyAlignment="1">
      <alignment horizontal="center"/>
    </xf>
    <xf numFmtId="165" fontId="6" fillId="0" borderId="26" xfId="0" applyNumberFormat="1" applyFont="1" applyBorder="1"/>
    <xf numFmtId="0" fontId="6" fillId="0" borderId="26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General</a:t>
            </a:r>
            <a:r>
              <a:rPr lang="en-US" baseline="0"/>
              <a:t> </a:t>
            </a:r>
            <a:r>
              <a:rPr lang="en-US"/>
              <a:t>Fund Balance</a:t>
            </a:r>
          </a:p>
          <a:p>
            <a:pPr algn="ctr">
              <a:defRPr/>
            </a:pPr>
            <a:r>
              <a:rPr lang="en-US" sz="1000"/>
              <a:t>(in thousands)</a:t>
            </a:r>
          </a:p>
        </c:rich>
      </c:tx>
      <c:layout>
        <c:manualLayout>
          <c:xMode val="edge"/>
          <c:yMode val="edge"/>
          <c:x val="0.33890010907727441"/>
          <c:y val="2.63453303631802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'Fund Balance Comparison FINAL'!$A$5</c:f>
              <c:strCache>
                <c:ptCount val="1"/>
                <c:pt idx="0">
                  <c:v>Nonspendable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'Fund Balance Comparison FINAL'!$B$4:$I$4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'Fund Balance Comparison FINAL'!$B$5:$G$5</c:f>
              <c:numCache>
                <c:formatCode>_("$"* #,##0_);_("$"* \(#,##0\);_("$"* "-"_);_(@_)</c:formatCode>
                <c:ptCount val="6"/>
                <c:pt idx="0">
                  <c:v>405</c:v>
                </c:pt>
                <c:pt idx="1">
                  <c:v>418</c:v>
                </c:pt>
                <c:pt idx="2">
                  <c:v>409</c:v>
                </c:pt>
                <c:pt idx="3">
                  <c:v>456</c:v>
                </c:pt>
                <c:pt idx="4">
                  <c:v>447</c:v>
                </c:pt>
                <c:pt idx="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99-4813-A6CF-E790F3ECB839}"/>
            </c:ext>
          </c:extLst>
        </c:ser>
        <c:ser>
          <c:idx val="0"/>
          <c:order val="1"/>
          <c:tx>
            <c:strRef>
              <c:f>'Fund Balance Comparison FINAL'!$A$6</c:f>
              <c:strCache>
                <c:ptCount val="1"/>
                <c:pt idx="0">
                  <c:v>Restricted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'Fund Balance Comparison FINAL'!$B$4:$I$4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'Fund Balance Comparison FINAL'!$B$6:$I$6</c:f>
              <c:numCache>
                <c:formatCode>_(* #,##0_);_(* \(#,##0\);_(* "-"??_);_(@_)</c:formatCode>
                <c:ptCount val="8"/>
                <c:pt idx="0">
                  <c:v>512</c:v>
                </c:pt>
                <c:pt idx="1">
                  <c:v>432</c:v>
                </c:pt>
                <c:pt idx="2">
                  <c:v>412</c:v>
                </c:pt>
                <c:pt idx="3">
                  <c:v>505</c:v>
                </c:pt>
                <c:pt idx="4">
                  <c:v>559</c:v>
                </c:pt>
                <c:pt idx="5">
                  <c:v>737</c:v>
                </c:pt>
                <c:pt idx="6">
                  <c:v>771</c:v>
                </c:pt>
                <c:pt idx="7">
                  <c:v>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9-4813-A6CF-E790F3ECB839}"/>
            </c:ext>
          </c:extLst>
        </c:ser>
        <c:ser>
          <c:idx val="1"/>
          <c:order val="2"/>
          <c:tx>
            <c:strRef>
              <c:f>'Fund Balance Comparison FINAL'!$A$7</c:f>
              <c:strCache>
                <c:ptCount val="1"/>
                <c:pt idx="0">
                  <c:v>Committed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'Fund Balance Comparison FINAL'!$B$4:$I$4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'Fund Balance Comparison FINAL'!$B$7:$I$7</c:f>
              <c:numCache>
                <c:formatCode>_(* #,##0_);_(* \(#,##0\);_(* "-"??_);_(@_)</c:formatCode>
                <c:ptCount val="8"/>
                <c:pt idx="0">
                  <c:v>10417</c:v>
                </c:pt>
                <c:pt idx="1">
                  <c:v>9745</c:v>
                </c:pt>
                <c:pt idx="2">
                  <c:v>9840</c:v>
                </c:pt>
                <c:pt idx="3">
                  <c:v>10084</c:v>
                </c:pt>
                <c:pt idx="4">
                  <c:v>9343</c:v>
                </c:pt>
                <c:pt idx="5">
                  <c:v>8496</c:v>
                </c:pt>
                <c:pt idx="6">
                  <c:v>8802</c:v>
                </c:pt>
                <c:pt idx="7">
                  <c:v>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99-4813-A6CF-E790F3ECB839}"/>
            </c:ext>
          </c:extLst>
        </c:ser>
        <c:ser>
          <c:idx val="2"/>
          <c:order val="3"/>
          <c:tx>
            <c:strRef>
              <c:f>'Fund Balance Comparison FINAL'!$A$8</c:f>
              <c:strCache>
                <c:ptCount val="1"/>
                <c:pt idx="0">
                  <c:v>Assigned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'Fund Balance Comparison FINAL'!$B$4:$I$4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'Fund Balance Comparison FINAL'!$B$8:$I$8</c:f>
              <c:numCache>
                <c:formatCode>_(* #,##0_);_(* \(#,##0\);_(* "-"??_);_(@_)</c:formatCode>
                <c:ptCount val="8"/>
                <c:pt idx="0">
                  <c:v>25867</c:v>
                </c:pt>
                <c:pt idx="1">
                  <c:v>28213</c:v>
                </c:pt>
                <c:pt idx="2">
                  <c:v>34231</c:v>
                </c:pt>
                <c:pt idx="3">
                  <c:v>44866</c:v>
                </c:pt>
                <c:pt idx="4">
                  <c:v>31891</c:v>
                </c:pt>
                <c:pt idx="5">
                  <c:v>27593</c:v>
                </c:pt>
                <c:pt idx="6">
                  <c:v>24608</c:v>
                </c:pt>
                <c:pt idx="7">
                  <c:v>27890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99-4813-A6CF-E790F3ECB839}"/>
            </c:ext>
          </c:extLst>
        </c:ser>
        <c:ser>
          <c:idx val="3"/>
          <c:order val="4"/>
          <c:tx>
            <c:strRef>
              <c:f>'Fund Balance Comparison FINAL'!$A$9</c:f>
              <c:strCache>
                <c:ptCount val="1"/>
                <c:pt idx="0">
                  <c:v>Unassigned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'Fund Balance Comparison FINAL'!$B$4:$I$4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'Fund Balance Comparison FINAL'!$B$9:$I$9</c:f>
              <c:numCache>
                <c:formatCode>_(* #,##0_);_(* \(#,##0\);_(* "-"??_);_(@_)</c:formatCode>
                <c:ptCount val="8"/>
                <c:pt idx="0">
                  <c:v>32161</c:v>
                </c:pt>
                <c:pt idx="1">
                  <c:v>28198</c:v>
                </c:pt>
                <c:pt idx="2">
                  <c:v>22533</c:v>
                </c:pt>
                <c:pt idx="3">
                  <c:v>3719</c:v>
                </c:pt>
                <c:pt idx="4">
                  <c:v>5990</c:v>
                </c:pt>
                <c:pt idx="5">
                  <c:v>5799</c:v>
                </c:pt>
                <c:pt idx="6">
                  <c:v>12814</c:v>
                </c:pt>
                <c:pt idx="7">
                  <c:v>15197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99-4813-A6CF-E790F3ECB839}"/>
            </c:ext>
          </c:extLst>
        </c:ser>
        <c:ser>
          <c:idx val="5"/>
          <c:order val="5"/>
          <c:tx>
            <c:strRef>
              <c:f>'Fund Balance Comparison FINAL'!$A$10</c:f>
              <c:strCache>
                <c:ptCount val="1"/>
                <c:pt idx="0">
                  <c:v> Total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'Fund Balance Comparison FINAL'!$B$4:$I$4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'Fund Balance Comparison FINAL'!$B$10:$I$10</c:f>
              <c:numCache>
                <c:formatCode>_("$"* #,##0_);_("$"* \(#,##0\);_("$"* "-"_);_(@_)</c:formatCode>
                <c:ptCount val="8"/>
                <c:pt idx="0">
                  <c:v>69362</c:v>
                </c:pt>
                <c:pt idx="1">
                  <c:v>67006</c:v>
                </c:pt>
                <c:pt idx="2">
                  <c:v>67425</c:v>
                </c:pt>
                <c:pt idx="3">
                  <c:v>59630</c:v>
                </c:pt>
                <c:pt idx="4">
                  <c:v>48230</c:v>
                </c:pt>
                <c:pt idx="5">
                  <c:v>43084</c:v>
                </c:pt>
                <c:pt idx="6">
                  <c:v>47827</c:v>
                </c:pt>
                <c:pt idx="7">
                  <c:v>54931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99-4813-A6CF-E790F3ECB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44240"/>
        <c:axId val="177353632"/>
      </c:lineChart>
      <c:catAx>
        <c:axId val="17744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353632"/>
        <c:crosses val="autoZero"/>
        <c:auto val="1"/>
        <c:lblAlgn val="ctr"/>
        <c:lblOffset val="100"/>
        <c:noMultiLvlLbl val="0"/>
      </c:catAx>
      <c:valAx>
        <c:axId val="177353632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44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7805160718546546E-2"/>
          <c:y val="0.15423503176145642"/>
          <c:w val="0.95827985990387587"/>
          <c:h val="0.1235285708339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General</a:t>
            </a:r>
            <a:r>
              <a:rPr lang="en-US" baseline="0"/>
              <a:t> </a:t>
            </a:r>
            <a:r>
              <a:rPr lang="en-US"/>
              <a:t>Fund Balance</a:t>
            </a:r>
          </a:p>
          <a:p>
            <a:pPr algn="ctr">
              <a:defRPr/>
            </a:pPr>
            <a:r>
              <a:rPr lang="en-US" sz="1000"/>
              <a:t>(in thousands)</a:t>
            </a:r>
          </a:p>
        </c:rich>
      </c:tx>
      <c:layout>
        <c:manualLayout>
          <c:xMode val="edge"/>
          <c:yMode val="edge"/>
          <c:x val="0.33890010907727441"/>
          <c:y val="2.63453303631802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'1. Fund Balance Comparison EST'!$A$5</c:f>
              <c:strCache>
                <c:ptCount val="1"/>
                <c:pt idx="0">
                  <c:v>Nonspendable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Fund Balance Comparison EST'!$B$4:$G$4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'1. Fund Balance Comparison EST'!$B$5:$G$5</c:f>
              <c:numCache>
                <c:formatCode>_("$"* #,##0_);_("$"* \(#,##0\);_("$"* "-"_);_(@_)</c:formatCode>
                <c:ptCount val="6"/>
                <c:pt idx="0">
                  <c:v>405</c:v>
                </c:pt>
                <c:pt idx="1">
                  <c:v>418</c:v>
                </c:pt>
                <c:pt idx="2">
                  <c:v>409</c:v>
                </c:pt>
                <c:pt idx="3">
                  <c:v>456</c:v>
                </c:pt>
                <c:pt idx="4">
                  <c:v>447</c:v>
                </c:pt>
                <c:pt idx="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9-432B-B321-2AFDFAE04706}"/>
            </c:ext>
          </c:extLst>
        </c:ser>
        <c:ser>
          <c:idx val="0"/>
          <c:order val="1"/>
          <c:tx>
            <c:strRef>
              <c:f>'1. Fund Balance Comparison EST'!$A$6</c:f>
              <c:strCache>
                <c:ptCount val="1"/>
                <c:pt idx="0">
                  <c:v>Restricted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'1. Fund Balance Comparison EST'!$B$4:$G$4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'1. Fund Balance Comparison EST'!$B$6:$I$6</c:f>
              <c:numCache>
                <c:formatCode>_(* #,##0_);_(* \(#,##0\);_(* "-"??_);_(@_)</c:formatCode>
                <c:ptCount val="8"/>
                <c:pt idx="0">
                  <c:v>512</c:v>
                </c:pt>
                <c:pt idx="1">
                  <c:v>432</c:v>
                </c:pt>
                <c:pt idx="2">
                  <c:v>412</c:v>
                </c:pt>
                <c:pt idx="3">
                  <c:v>505</c:v>
                </c:pt>
                <c:pt idx="4">
                  <c:v>559</c:v>
                </c:pt>
                <c:pt idx="5">
                  <c:v>737</c:v>
                </c:pt>
                <c:pt idx="6">
                  <c:v>771</c:v>
                </c:pt>
                <c:pt idx="7">
                  <c:v>2154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9-432B-B321-2AFDFAE04706}"/>
            </c:ext>
          </c:extLst>
        </c:ser>
        <c:ser>
          <c:idx val="1"/>
          <c:order val="2"/>
          <c:tx>
            <c:strRef>
              <c:f>'1. Fund Balance Comparison EST'!$A$7</c:f>
              <c:strCache>
                <c:ptCount val="1"/>
                <c:pt idx="0">
                  <c:v>Committed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Fund Balance Comparison EST'!$B$4:$G$4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'1. Fund Balance Comparison EST'!$B$7:$I$7</c:f>
              <c:numCache>
                <c:formatCode>_(* #,##0_);_(* \(#,##0\);_(* "-"??_);_(@_)</c:formatCode>
                <c:ptCount val="8"/>
                <c:pt idx="0">
                  <c:v>10417</c:v>
                </c:pt>
                <c:pt idx="1">
                  <c:v>9745</c:v>
                </c:pt>
                <c:pt idx="2">
                  <c:v>9840</c:v>
                </c:pt>
                <c:pt idx="3">
                  <c:v>10084</c:v>
                </c:pt>
                <c:pt idx="4">
                  <c:v>9343</c:v>
                </c:pt>
                <c:pt idx="5">
                  <c:v>8496</c:v>
                </c:pt>
                <c:pt idx="6">
                  <c:v>8802</c:v>
                </c:pt>
                <c:pt idx="7">
                  <c:v>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89-432B-B321-2AFDFAE04706}"/>
            </c:ext>
          </c:extLst>
        </c:ser>
        <c:ser>
          <c:idx val="2"/>
          <c:order val="3"/>
          <c:tx>
            <c:strRef>
              <c:f>'1. Fund Balance Comparison EST'!$A$8</c:f>
              <c:strCache>
                <c:ptCount val="1"/>
                <c:pt idx="0">
                  <c:v>Assigned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Fund Balance Comparison EST'!$B$4:$G$4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'1. Fund Balance Comparison EST'!$B$8:$I$8</c:f>
              <c:numCache>
                <c:formatCode>_(* #,##0_);_(* \(#,##0\);_(* "-"??_);_(@_)</c:formatCode>
                <c:ptCount val="8"/>
                <c:pt idx="0">
                  <c:v>25867</c:v>
                </c:pt>
                <c:pt idx="1">
                  <c:v>28213</c:v>
                </c:pt>
                <c:pt idx="2">
                  <c:v>34231</c:v>
                </c:pt>
                <c:pt idx="3">
                  <c:v>44866</c:v>
                </c:pt>
                <c:pt idx="4">
                  <c:v>31891</c:v>
                </c:pt>
                <c:pt idx="5">
                  <c:v>27593</c:v>
                </c:pt>
                <c:pt idx="6">
                  <c:v>24608</c:v>
                </c:pt>
                <c:pt idx="7">
                  <c:v>25259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89-432B-B321-2AFDFAE04706}"/>
            </c:ext>
          </c:extLst>
        </c:ser>
        <c:ser>
          <c:idx val="3"/>
          <c:order val="4"/>
          <c:tx>
            <c:strRef>
              <c:f>'1. Fund Balance Comparison EST'!$A$9</c:f>
              <c:strCache>
                <c:ptCount val="1"/>
                <c:pt idx="0">
                  <c:v>Unassigned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Fund Balance Comparison EST'!$B$4:$G$4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'1. Fund Balance Comparison EST'!$B$9:$I$9</c:f>
              <c:numCache>
                <c:formatCode>_(* #,##0_);_(* \(#,##0\);_(* "-"??_);_(@_)</c:formatCode>
                <c:ptCount val="8"/>
                <c:pt idx="0">
                  <c:v>32161</c:v>
                </c:pt>
                <c:pt idx="1">
                  <c:v>28198</c:v>
                </c:pt>
                <c:pt idx="2">
                  <c:v>22533</c:v>
                </c:pt>
                <c:pt idx="3">
                  <c:v>3719</c:v>
                </c:pt>
                <c:pt idx="4">
                  <c:v>5990</c:v>
                </c:pt>
                <c:pt idx="5">
                  <c:v>5799</c:v>
                </c:pt>
                <c:pt idx="6">
                  <c:v>12814</c:v>
                </c:pt>
                <c:pt idx="7">
                  <c:v>16223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89-432B-B321-2AFDFAE04706}"/>
            </c:ext>
          </c:extLst>
        </c:ser>
        <c:ser>
          <c:idx val="5"/>
          <c:order val="5"/>
          <c:tx>
            <c:strRef>
              <c:f>'1. Fund Balance Comparison EST'!$A$10</c:f>
              <c:strCache>
                <c:ptCount val="1"/>
                <c:pt idx="0">
                  <c:v> Total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Fund Balance Comparison EST'!$B$4:$G$4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'1. Fund Balance Comparison EST'!$B$10:$I$10</c:f>
              <c:numCache>
                <c:formatCode>_("$"* #,##0_);_("$"* \(#,##0\);_("$"* "-"_);_(@_)</c:formatCode>
                <c:ptCount val="8"/>
                <c:pt idx="0">
                  <c:v>69362</c:v>
                </c:pt>
                <c:pt idx="1">
                  <c:v>67006</c:v>
                </c:pt>
                <c:pt idx="2">
                  <c:v>67425</c:v>
                </c:pt>
                <c:pt idx="3">
                  <c:v>59630</c:v>
                </c:pt>
                <c:pt idx="4">
                  <c:v>48230</c:v>
                </c:pt>
                <c:pt idx="5">
                  <c:v>43084</c:v>
                </c:pt>
                <c:pt idx="6">
                  <c:v>47827</c:v>
                </c:pt>
                <c:pt idx="7">
                  <c:v>53430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89-432B-B321-2AFDFAE04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347872"/>
        <c:axId val="177724520"/>
      </c:lineChart>
      <c:catAx>
        <c:axId val="17734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24520"/>
        <c:crosses val="autoZero"/>
        <c:auto val="1"/>
        <c:lblAlgn val="ctr"/>
        <c:lblOffset val="100"/>
        <c:noMultiLvlLbl val="0"/>
      </c:catAx>
      <c:valAx>
        <c:axId val="177724520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34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7805160718546546E-2"/>
          <c:y val="0.15423503176145642"/>
          <c:w val="0.95827985990387587"/>
          <c:h val="0.1235285708339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10886</xdr:colOff>
      <xdr:row>24</xdr:row>
      <xdr:rowOff>11566</xdr:rowOff>
    </xdr:from>
    <xdr:to>
      <xdr:col>4</xdr:col>
      <xdr:colOff>141514</xdr:colOff>
      <xdr:row>42</xdr:row>
      <xdr:rowOff>46264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22451</xdr:rowOff>
    </xdr:from>
    <xdr:to>
      <xdr:col>4</xdr:col>
      <xdr:colOff>130628</xdr:colOff>
      <xdr:row>41</xdr:row>
      <xdr:rowOff>46264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tabSelected="1" zoomScaleNormal="100" zoomScaleSheetLayoutView="90" workbookViewId="0">
      <pane xSplit="6" ySplit="5" topLeftCell="G9" activePane="bottomRight" state="frozen"/>
      <selection pane="topRight" activeCell="G1" sqref="G1"/>
      <selection pane="bottomLeft" activeCell="A6" sqref="A6"/>
      <selection pane="bottomRight" sqref="A1:S24"/>
    </sheetView>
  </sheetViews>
  <sheetFormatPr defaultColWidth="9.1796875" defaultRowHeight="21" x14ac:dyDescent="0.5"/>
  <cols>
    <col min="1" max="1" width="26" style="68" customWidth="1"/>
    <col min="2" max="4" width="13.7265625" style="68" hidden="1" customWidth="1"/>
    <col min="5" max="5" width="13.453125" style="68" hidden="1" customWidth="1"/>
    <col min="6" max="6" width="13.7265625" style="68" hidden="1" customWidth="1"/>
    <col min="7" max="7" width="16.1796875" style="68" hidden="1" customWidth="1"/>
    <col min="8" max="18" width="16.1796875" style="68" customWidth="1"/>
    <col min="19" max="19" width="14.1796875" style="68" bestFit="1" customWidth="1"/>
    <col min="20" max="20" width="12.453125" style="68" bestFit="1" customWidth="1"/>
    <col min="21" max="21" width="9.81640625" style="68" bestFit="1" customWidth="1"/>
    <col min="22" max="16384" width="9.1796875" style="68"/>
  </cols>
  <sheetData>
    <row r="1" spans="1:20" ht="21.5" thickBot="1" x14ac:dyDescent="0.55000000000000004">
      <c r="A1" s="139" t="s">
        <v>24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1"/>
    </row>
    <row r="2" spans="1:20" ht="22.5" customHeight="1" thickBot="1" x14ac:dyDescent="0.55000000000000004">
      <c r="A2" s="136" t="s">
        <v>11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8"/>
    </row>
    <row r="3" spans="1:20" ht="27.75" customHeight="1" x14ac:dyDescent="0.5">
      <c r="A3" s="71" t="s">
        <v>15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3"/>
      <c r="N3" s="73"/>
      <c r="O3" s="73"/>
      <c r="P3" s="73"/>
      <c r="Q3" s="69"/>
      <c r="R3" s="69"/>
      <c r="S3" s="130"/>
    </row>
    <row r="4" spans="1:20" x14ac:dyDescent="0.5">
      <c r="A4" s="74"/>
      <c r="B4" s="73">
        <v>2007</v>
      </c>
      <c r="C4" s="73">
        <v>2008</v>
      </c>
      <c r="D4" s="73">
        <v>2009</v>
      </c>
      <c r="E4" s="73">
        <v>2010</v>
      </c>
      <c r="F4" s="73">
        <v>2011</v>
      </c>
      <c r="G4" s="73">
        <v>2012</v>
      </c>
      <c r="H4" s="73">
        <v>2013</v>
      </c>
      <c r="I4" s="73">
        <v>2014</v>
      </c>
      <c r="J4" s="75">
        <v>2015</v>
      </c>
      <c r="K4" s="75">
        <v>2016</v>
      </c>
      <c r="L4" s="75">
        <v>2017</v>
      </c>
      <c r="M4" s="75">
        <v>2018</v>
      </c>
      <c r="N4" s="75">
        <v>2019</v>
      </c>
      <c r="O4" s="75">
        <v>2020</v>
      </c>
      <c r="P4" s="75">
        <v>2021</v>
      </c>
      <c r="Q4" s="76">
        <v>2022</v>
      </c>
      <c r="R4" s="76" t="s">
        <v>25</v>
      </c>
      <c r="S4" s="131" t="s">
        <v>14</v>
      </c>
    </row>
    <row r="5" spans="1:20" s="77" customFormat="1" x14ac:dyDescent="0.5">
      <c r="A5" s="74" t="s">
        <v>0</v>
      </c>
      <c r="B5" s="77">
        <v>270</v>
      </c>
      <c r="C5" s="77">
        <v>274</v>
      </c>
      <c r="D5" s="77">
        <v>321</v>
      </c>
      <c r="E5" s="77">
        <v>349</v>
      </c>
      <c r="F5" s="78">
        <v>405</v>
      </c>
      <c r="G5" s="78">
        <v>418</v>
      </c>
      <c r="H5" s="78">
        <v>409</v>
      </c>
      <c r="I5" s="78">
        <v>456</v>
      </c>
      <c r="J5" s="78">
        <v>447</v>
      </c>
      <c r="K5" s="78">
        <v>459</v>
      </c>
      <c r="L5" s="78">
        <v>832</v>
      </c>
      <c r="M5" s="78">
        <v>692</v>
      </c>
      <c r="N5" s="78">
        <v>2156</v>
      </c>
      <c r="O5" s="78">
        <v>2157</v>
      </c>
      <c r="P5" s="79">
        <f>920+5142</f>
        <v>6062</v>
      </c>
      <c r="Q5" s="80">
        <v>3845</v>
      </c>
      <c r="R5" s="80">
        <v>2766</v>
      </c>
      <c r="S5" s="132">
        <f>R5-Q5</f>
        <v>-1079</v>
      </c>
    </row>
    <row r="6" spans="1:20" x14ac:dyDescent="0.5">
      <c r="A6" s="74" t="s">
        <v>1</v>
      </c>
      <c r="B6" s="81">
        <v>898</v>
      </c>
      <c r="C6" s="81">
        <v>1080</v>
      </c>
      <c r="D6" s="81">
        <v>936</v>
      </c>
      <c r="E6" s="81">
        <v>570</v>
      </c>
      <c r="F6" s="82">
        <v>512</v>
      </c>
      <c r="G6" s="82">
        <v>432</v>
      </c>
      <c r="H6" s="82">
        <v>412</v>
      </c>
      <c r="I6" s="82">
        <v>505</v>
      </c>
      <c r="J6" s="82">
        <v>559</v>
      </c>
      <c r="K6" s="82">
        <f>617+120</f>
        <v>737</v>
      </c>
      <c r="L6" s="82">
        <f>601+170</f>
        <v>771</v>
      </c>
      <c r="M6" s="82">
        <v>1951</v>
      </c>
      <c r="N6" s="82">
        <v>3125</v>
      </c>
      <c r="O6" s="82">
        <v>2160</v>
      </c>
      <c r="P6" s="83">
        <v>2819</v>
      </c>
      <c r="Q6" s="84">
        <v>2658</v>
      </c>
      <c r="R6" s="84">
        <v>2768</v>
      </c>
      <c r="S6" s="132">
        <f t="shared" ref="S6:S14" si="0">R6-Q6</f>
        <v>110</v>
      </c>
    </row>
    <row r="7" spans="1:20" x14ac:dyDescent="0.5">
      <c r="A7" s="74" t="s">
        <v>2</v>
      </c>
      <c r="B7" s="81">
        <v>0</v>
      </c>
      <c r="C7" s="81">
        <v>0</v>
      </c>
      <c r="D7" s="81">
        <v>0</v>
      </c>
      <c r="E7" s="81">
        <v>0</v>
      </c>
      <c r="F7" s="82">
        <v>10417</v>
      </c>
      <c r="G7" s="82">
        <v>9745</v>
      </c>
      <c r="H7" s="82">
        <v>9840</v>
      </c>
      <c r="I7" s="82">
        <v>10084</v>
      </c>
      <c r="J7" s="82">
        <v>9343</v>
      </c>
      <c r="K7" s="82">
        <f>7854+642</f>
        <v>8496</v>
      </c>
      <c r="L7" s="82">
        <f>8458+344</f>
        <v>8802</v>
      </c>
      <c r="M7" s="82">
        <f>8941+260</f>
        <v>9201</v>
      </c>
      <c r="N7" s="82">
        <v>9810</v>
      </c>
      <c r="O7" s="82">
        <v>10366</v>
      </c>
      <c r="P7" s="83">
        <v>10715</v>
      </c>
      <c r="Q7" s="84">
        <v>12169</v>
      </c>
      <c r="R7" s="84">
        <v>13885</v>
      </c>
      <c r="S7" s="132">
        <f t="shared" si="0"/>
        <v>1716</v>
      </c>
    </row>
    <row r="8" spans="1:20" x14ac:dyDescent="0.5">
      <c r="A8" s="74" t="s">
        <v>3</v>
      </c>
      <c r="B8" s="81">
        <v>10578</v>
      </c>
      <c r="C8" s="81">
        <v>14943</v>
      </c>
      <c r="D8" s="81">
        <v>29089</v>
      </c>
      <c r="E8" s="81">
        <v>45520</v>
      </c>
      <c r="F8" s="82">
        <v>25867</v>
      </c>
      <c r="G8" s="82">
        <v>28213</v>
      </c>
      <c r="H8" s="82">
        <v>34231</v>
      </c>
      <c r="I8" s="82">
        <v>44866</v>
      </c>
      <c r="J8" s="82">
        <v>31891</v>
      </c>
      <c r="K8" s="82">
        <f>17874+9719</f>
        <v>27593</v>
      </c>
      <c r="L8" s="82">
        <v>24608</v>
      </c>
      <c r="M8" s="82">
        <v>27890</v>
      </c>
      <c r="N8" s="82">
        <v>31874</v>
      </c>
      <c r="O8" s="82">
        <v>43755</v>
      </c>
      <c r="P8" s="83">
        <f>48916-6427</f>
        <v>42489</v>
      </c>
      <c r="Q8" s="84">
        <v>29211</v>
      </c>
      <c r="R8" s="84">
        <v>24466</v>
      </c>
      <c r="S8" s="132">
        <f t="shared" si="0"/>
        <v>-4745</v>
      </c>
    </row>
    <row r="9" spans="1:20" x14ac:dyDescent="0.5">
      <c r="A9" s="74" t="s">
        <v>4</v>
      </c>
      <c r="B9" s="81">
        <v>8162</v>
      </c>
      <c r="C9" s="81">
        <v>8384</v>
      </c>
      <c r="D9" s="81">
        <v>7967</v>
      </c>
      <c r="E9" s="81">
        <v>10927</v>
      </c>
      <c r="F9" s="82">
        <v>32161</v>
      </c>
      <c r="G9" s="82">
        <v>28198</v>
      </c>
      <c r="H9" s="82">
        <v>22533</v>
      </c>
      <c r="I9" s="82">
        <v>3719</v>
      </c>
      <c r="J9" s="82">
        <v>5990</v>
      </c>
      <c r="K9" s="82">
        <v>5799</v>
      </c>
      <c r="L9" s="82">
        <v>12814</v>
      </c>
      <c r="M9" s="82">
        <v>15197</v>
      </c>
      <c r="N9" s="82">
        <v>15867</v>
      </c>
      <c r="O9" s="82">
        <v>6207</v>
      </c>
      <c r="P9" s="83">
        <v>6427</v>
      </c>
      <c r="Q9" s="84">
        <v>298</v>
      </c>
      <c r="R9" s="84">
        <v>0</v>
      </c>
      <c r="S9" s="132">
        <f t="shared" si="0"/>
        <v>-298</v>
      </c>
    </row>
    <row r="10" spans="1:20" s="77" customFormat="1" x14ac:dyDescent="0.5">
      <c r="A10" s="85" t="s">
        <v>5</v>
      </c>
      <c r="B10" s="86">
        <f t="shared" ref="B10:D10" si="1">B5+SUM(B6:B9)</f>
        <v>19908</v>
      </c>
      <c r="C10" s="86">
        <f t="shared" si="1"/>
        <v>24681</v>
      </c>
      <c r="D10" s="86">
        <f t="shared" si="1"/>
        <v>38313</v>
      </c>
      <c r="E10" s="86">
        <f>E5+SUM(E6:E9)</f>
        <v>57366</v>
      </c>
      <c r="F10" s="86">
        <f>F5+SUM(F6:F9)</f>
        <v>69362</v>
      </c>
      <c r="G10" s="86">
        <f t="shared" ref="G10:K10" si="2">G5+SUM(G6:G9)</f>
        <v>67006</v>
      </c>
      <c r="H10" s="86">
        <f t="shared" si="2"/>
        <v>67425</v>
      </c>
      <c r="I10" s="86">
        <f t="shared" si="2"/>
        <v>59630</v>
      </c>
      <c r="J10" s="86">
        <f t="shared" si="2"/>
        <v>48230</v>
      </c>
      <c r="K10" s="86">
        <f t="shared" si="2"/>
        <v>43084</v>
      </c>
      <c r="L10" s="86">
        <f t="shared" ref="L10:M10" si="3">L5+SUM(L6:L9)</f>
        <v>47827</v>
      </c>
      <c r="M10" s="86">
        <f t="shared" si="3"/>
        <v>54931</v>
      </c>
      <c r="N10" s="86">
        <f t="shared" ref="N10:R10" si="4">N5+SUM(N6:N9)</f>
        <v>62832</v>
      </c>
      <c r="O10" s="86">
        <f t="shared" si="4"/>
        <v>64645</v>
      </c>
      <c r="P10" s="87">
        <f t="shared" si="4"/>
        <v>68512</v>
      </c>
      <c r="Q10" s="88">
        <f t="shared" si="4"/>
        <v>48181</v>
      </c>
      <c r="R10" s="88">
        <f t="shared" si="4"/>
        <v>43885</v>
      </c>
      <c r="S10" s="132">
        <f t="shared" si="0"/>
        <v>-4296</v>
      </c>
      <c r="T10" s="77">
        <f>SUM(S5:S9)</f>
        <v>-4296</v>
      </c>
    </row>
    <row r="11" spans="1:20" s="77" customFormat="1" x14ac:dyDescent="0.5">
      <c r="A11" s="85"/>
      <c r="B11" s="89"/>
      <c r="C11" s="89"/>
      <c r="D11" s="89"/>
      <c r="E11" s="89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7"/>
      <c r="Q11" s="88"/>
      <c r="R11" s="88"/>
      <c r="S11" s="132"/>
    </row>
    <row r="12" spans="1:20" ht="42" x14ac:dyDescent="0.5">
      <c r="A12" s="121" t="s">
        <v>13</v>
      </c>
      <c r="B12" s="90"/>
      <c r="C12" s="90">
        <f t="shared" ref="C12:E12" si="5">C10-B10</f>
        <v>4773</v>
      </c>
      <c r="D12" s="90">
        <f t="shared" si="5"/>
        <v>13632</v>
      </c>
      <c r="E12" s="90">
        <f t="shared" si="5"/>
        <v>19053</v>
      </c>
      <c r="F12" s="90">
        <f>F10-E10</f>
        <v>11996</v>
      </c>
      <c r="G12" s="90">
        <f>G10-F10</f>
        <v>-2356</v>
      </c>
      <c r="H12" s="90">
        <f t="shared" ref="H12:J12" si="6">H10-G10</f>
        <v>419</v>
      </c>
      <c r="I12" s="90">
        <f>I10-H10</f>
        <v>-7795</v>
      </c>
      <c r="J12" s="90">
        <f t="shared" si="6"/>
        <v>-11400</v>
      </c>
      <c r="K12" s="90">
        <f>K10-J10</f>
        <v>-5146</v>
      </c>
      <c r="L12" s="90">
        <f t="shared" ref="L12:R12" si="7">L10-K10</f>
        <v>4743</v>
      </c>
      <c r="M12" s="90">
        <f t="shared" si="7"/>
        <v>7104</v>
      </c>
      <c r="N12" s="90">
        <f t="shared" si="7"/>
        <v>7901</v>
      </c>
      <c r="O12" s="90">
        <f t="shared" si="7"/>
        <v>1813</v>
      </c>
      <c r="P12" s="90">
        <f t="shared" si="7"/>
        <v>3867</v>
      </c>
      <c r="Q12" s="91">
        <f t="shared" si="7"/>
        <v>-20331</v>
      </c>
      <c r="R12" s="91">
        <f t="shared" si="7"/>
        <v>-4296</v>
      </c>
      <c r="S12" s="133">
        <f>Q12+R12</f>
        <v>-24627</v>
      </c>
    </row>
    <row r="13" spans="1:20" x14ac:dyDescent="0.5">
      <c r="A13" s="74"/>
      <c r="F13" s="92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1"/>
      <c r="R13" s="91"/>
      <c r="S13" s="132"/>
    </row>
    <row r="14" spans="1:20" s="77" customFormat="1" x14ac:dyDescent="0.5">
      <c r="A14" s="93" t="s">
        <v>12</v>
      </c>
      <c r="B14" s="77">
        <v>199256</v>
      </c>
      <c r="C14" s="77">
        <v>215104</v>
      </c>
      <c r="D14" s="77">
        <v>211549</v>
      </c>
      <c r="E14" s="77">
        <v>213781</v>
      </c>
      <c r="F14" s="77">
        <v>215499</v>
      </c>
      <c r="G14" s="79">
        <v>208486</v>
      </c>
      <c r="H14" s="77">
        <v>218701</v>
      </c>
      <c r="I14" s="77">
        <v>236487</v>
      </c>
      <c r="J14" s="94">
        <v>251420</v>
      </c>
      <c r="K14" s="94">
        <v>269644</v>
      </c>
      <c r="L14" s="94">
        <v>289577</v>
      </c>
      <c r="M14" s="94">
        <v>307504</v>
      </c>
      <c r="N14" s="94">
        <v>331432</v>
      </c>
      <c r="O14" s="94">
        <v>349894</v>
      </c>
      <c r="P14" s="94">
        <v>362026</v>
      </c>
      <c r="Q14" s="95">
        <v>384366</v>
      </c>
      <c r="R14" s="95">
        <v>453619</v>
      </c>
      <c r="S14" s="132">
        <f t="shared" si="0"/>
        <v>69253</v>
      </c>
    </row>
    <row r="15" spans="1:20" x14ac:dyDescent="0.5">
      <c r="A15" s="74" t="s">
        <v>7</v>
      </c>
      <c r="B15" s="96">
        <f t="shared" ref="B15:E15" si="8">B10/B14</f>
        <v>9.991167141767375E-2</v>
      </c>
      <c r="C15" s="96">
        <f t="shared" si="8"/>
        <v>0.11473984677179411</v>
      </c>
      <c r="D15" s="96">
        <f t="shared" si="8"/>
        <v>0.1811069775796624</v>
      </c>
      <c r="E15" s="96">
        <f t="shared" si="8"/>
        <v>0.26834003021783975</v>
      </c>
      <c r="F15" s="96">
        <f>F10/F14</f>
        <v>0.32186692281634716</v>
      </c>
      <c r="G15" s="96">
        <f t="shared" ref="G15:M15" si="9">G10/G14</f>
        <v>0.32139328300221598</v>
      </c>
      <c r="H15" s="96">
        <f t="shared" si="9"/>
        <v>0.30829763009771333</v>
      </c>
      <c r="I15" s="96">
        <f t="shared" si="9"/>
        <v>0.25214916676180932</v>
      </c>
      <c r="J15" s="96">
        <f t="shared" si="9"/>
        <v>0.19183040330920373</v>
      </c>
      <c r="K15" s="96">
        <f t="shared" si="9"/>
        <v>0.15978104463663201</v>
      </c>
      <c r="L15" s="96">
        <f t="shared" si="9"/>
        <v>0.16516159777882913</v>
      </c>
      <c r="M15" s="96">
        <f t="shared" si="9"/>
        <v>0.17863507466569539</v>
      </c>
      <c r="N15" s="96">
        <f t="shared" ref="N15:O15" si="10">N10/N14</f>
        <v>0.18957734919983588</v>
      </c>
      <c r="O15" s="96">
        <f t="shared" si="10"/>
        <v>0.18475595466055433</v>
      </c>
      <c r="P15" s="96">
        <f t="shared" ref="P15:Q15" si="11">P10/P14</f>
        <v>0.18924607624866721</v>
      </c>
      <c r="Q15" s="97">
        <f t="shared" si="11"/>
        <v>0.12535187815779752</v>
      </c>
      <c r="R15" s="97">
        <f>R10/R14</f>
        <v>9.6744183995820285E-2</v>
      </c>
      <c r="S15" s="134">
        <f>R15-Q15</f>
        <v>-2.860769416197724E-2</v>
      </c>
    </row>
    <row r="16" spans="1:20" x14ac:dyDescent="0.5">
      <c r="A16" s="93" t="s">
        <v>9</v>
      </c>
      <c r="B16" s="96">
        <f t="shared" ref="B16:E16" si="12">B8/B14</f>
        <v>5.3087485445858597E-2</v>
      </c>
      <c r="C16" s="96">
        <f t="shared" si="12"/>
        <v>6.9468722106515918E-2</v>
      </c>
      <c r="D16" s="96">
        <f t="shared" si="12"/>
        <v>0.13750478612520031</v>
      </c>
      <c r="E16" s="96">
        <f t="shared" si="12"/>
        <v>0.21292818351490544</v>
      </c>
      <c r="F16" s="96">
        <f>F8/F14</f>
        <v>0.12003303959647145</v>
      </c>
      <c r="G16" s="96">
        <f t="shared" ref="G16:K16" si="13">G8/G14</f>
        <v>0.13532323513329433</v>
      </c>
      <c r="H16" s="96">
        <f t="shared" si="13"/>
        <v>0.15651963182610049</v>
      </c>
      <c r="I16" s="96">
        <f t="shared" si="13"/>
        <v>0.18971867375373699</v>
      </c>
      <c r="J16" s="96">
        <f t="shared" si="13"/>
        <v>0.12684352875666216</v>
      </c>
      <c r="K16" s="96">
        <f t="shared" si="13"/>
        <v>0.10233122190740383</v>
      </c>
      <c r="L16" s="96">
        <f>L8/L14</f>
        <v>8.4979124723303295E-2</v>
      </c>
      <c r="M16" s="96">
        <f t="shared" ref="M16:N16" si="14">M8/M14</f>
        <v>9.0698007180394405E-2</v>
      </c>
      <c r="N16" s="96">
        <f t="shared" si="14"/>
        <v>9.617055685630839E-2</v>
      </c>
      <c r="O16" s="96">
        <f t="shared" ref="O16:P16" si="15">O8/O14</f>
        <v>0.12505215865376371</v>
      </c>
      <c r="P16" s="96">
        <f t="shared" si="15"/>
        <v>0.11736449868241508</v>
      </c>
      <c r="Q16" s="97">
        <f t="shared" ref="Q16:R16" si="16">Q8/Q14</f>
        <v>7.5997877023462015E-2</v>
      </c>
      <c r="R16" s="97">
        <f t="shared" si="16"/>
        <v>5.3935130583154585E-2</v>
      </c>
      <c r="S16" s="134">
        <f t="shared" ref="S16:S18" si="17">R16-Q16</f>
        <v>-2.2062746440307431E-2</v>
      </c>
    </row>
    <row r="17" spans="1:21" x14ac:dyDescent="0.5">
      <c r="A17" s="98" t="s">
        <v>10</v>
      </c>
      <c r="B17" s="99">
        <f t="shared" ref="B17:E17" si="18">B9/B14</f>
        <v>4.0962380053800138E-2</v>
      </c>
      <c r="C17" s="99">
        <f t="shared" si="18"/>
        <v>3.8976495090746799E-2</v>
      </c>
      <c r="D17" s="99">
        <f t="shared" si="18"/>
        <v>3.7660305650227606E-2</v>
      </c>
      <c r="E17" s="99">
        <f t="shared" si="18"/>
        <v>5.1113054948755968E-2</v>
      </c>
      <c r="F17" s="99">
        <f>F9/F14</f>
        <v>0.14923967164580809</v>
      </c>
      <c r="G17" s="99">
        <f t="shared" ref="G17:K17" si="19">G9/G14</f>
        <v>0.13525128785625892</v>
      </c>
      <c r="H17" s="99">
        <f t="shared" si="19"/>
        <v>0.10303107896168742</v>
      </c>
      <c r="I17" s="99">
        <f t="shared" si="19"/>
        <v>1.5726022994921495E-2</v>
      </c>
      <c r="J17" s="99">
        <f t="shared" si="19"/>
        <v>2.382467584122186E-2</v>
      </c>
      <c r="K17" s="99">
        <f t="shared" si="19"/>
        <v>2.150613401373663E-2</v>
      </c>
      <c r="L17" s="99">
        <f>L9/L14</f>
        <v>4.4250751958891762E-2</v>
      </c>
      <c r="M17" s="99">
        <f t="shared" ref="M17:N17" si="20">M9/M14</f>
        <v>4.942049534315001E-2</v>
      </c>
      <c r="N17" s="99">
        <f t="shared" si="20"/>
        <v>4.7874073716478796E-2</v>
      </c>
      <c r="O17" s="99">
        <f t="shared" ref="O17:P17" si="21">O9/O14</f>
        <v>1.7739658296512657E-2</v>
      </c>
      <c r="P17" s="99">
        <f t="shared" si="21"/>
        <v>1.7752868578499888E-2</v>
      </c>
      <c r="Q17" s="100">
        <f t="shared" ref="Q17:R17" si="22">Q9/Q14</f>
        <v>7.753027062747485E-4</v>
      </c>
      <c r="R17" s="100">
        <f t="shared" si="22"/>
        <v>0</v>
      </c>
      <c r="S17" s="134">
        <f t="shared" si="17"/>
        <v>-7.753027062747485E-4</v>
      </c>
    </row>
    <row r="18" spans="1:21" ht="48" customHeight="1" x14ac:dyDescent="0.5">
      <c r="A18" s="127" t="s">
        <v>8</v>
      </c>
      <c r="B18" s="101">
        <f t="shared" ref="B18:E18" si="23">SUM(B8:B9)/B14</f>
        <v>9.4049865499658727E-2</v>
      </c>
      <c r="C18" s="101">
        <f t="shared" si="23"/>
        <v>0.10844521719726272</v>
      </c>
      <c r="D18" s="101">
        <f t="shared" si="23"/>
        <v>0.17516509177542791</v>
      </c>
      <c r="E18" s="101">
        <f t="shared" si="23"/>
        <v>0.2640412384636614</v>
      </c>
      <c r="F18" s="101">
        <f>SUM(F8:F9)/F14</f>
        <v>0.26927271124227953</v>
      </c>
      <c r="G18" s="101">
        <f>SUM(G8:G9)/G14</f>
        <v>0.27057452298955326</v>
      </c>
      <c r="H18" s="128">
        <f t="shared" ref="H18:J18" si="24">SUM(H8:H9)/H14</f>
        <v>0.25955071078778791</v>
      </c>
      <c r="I18" s="128">
        <f t="shared" si="24"/>
        <v>0.20544469674865848</v>
      </c>
      <c r="J18" s="128">
        <f t="shared" si="24"/>
        <v>0.15066820459788402</v>
      </c>
      <c r="K18" s="128">
        <f t="shared" ref="K18" si="25">SUM(K8:K9)/K14</f>
        <v>0.12383735592114047</v>
      </c>
      <c r="L18" s="128">
        <f>SUM(L8:L9)/L14</f>
        <v>0.12922987668219507</v>
      </c>
      <c r="M18" s="128">
        <f t="shared" ref="M18:N18" si="26">SUM(M8:M9)/M14</f>
        <v>0.14011850252354441</v>
      </c>
      <c r="N18" s="128">
        <f t="shared" si="26"/>
        <v>0.14404463057278719</v>
      </c>
      <c r="O18" s="128">
        <f t="shared" ref="O18:P18" si="27">SUM(O8:O9)/O14</f>
        <v>0.14279181695027637</v>
      </c>
      <c r="P18" s="128">
        <f t="shared" si="27"/>
        <v>0.13511736726091497</v>
      </c>
      <c r="Q18" s="129">
        <f t="shared" ref="Q18:R18" si="28">SUM(Q8:Q9)/Q14</f>
        <v>7.6773179729736768E-2</v>
      </c>
      <c r="R18" s="129">
        <f t="shared" si="28"/>
        <v>5.3935130583154585E-2</v>
      </c>
      <c r="S18" s="134">
        <f t="shared" si="17"/>
        <v>-2.2838049146582183E-2</v>
      </c>
    </row>
    <row r="19" spans="1:21" x14ac:dyDescent="0.5">
      <c r="A19" s="102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4"/>
      <c r="R19" s="104"/>
      <c r="S19" s="132"/>
    </row>
    <row r="20" spans="1:21" s="108" customFormat="1" x14ac:dyDescent="0.5">
      <c r="A20" s="105" t="s">
        <v>17</v>
      </c>
      <c r="B20" s="106" t="s">
        <v>16</v>
      </c>
      <c r="C20" s="106" t="s">
        <v>16</v>
      </c>
      <c r="D20" s="106" t="s">
        <v>16</v>
      </c>
      <c r="E20" s="106" t="s">
        <v>16</v>
      </c>
      <c r="F20" s="106">
        <v>19106</v>
      </c>
      <c r="G20" s="106">
        <v>18949</v>
      </c>
      <c r="H20" s="106">
        <v>20055</v>
      </c>
      <c r="I20" s="106">
        <v>23551</v>
      </c>
      <c r="J20" s="106">
        <v>23586</v>
      </c>
      <c r="K20" s="106">
        <v>17874</v>
      </c>
      <c r="L20" s="106">
        <v>12363</v>
      </c>
      <c r="M20" s="106">
        <v>12253</v>
      </c>
      <c r="N20" s="106">
        <v>13224</v>
      </c>
      <c r="O20" s="106">
        <v>17335</v>
      </c>
      <c r="P20" s="106">
        <v>22889</v>
      </c>
      <c r="Q20" s="107">
        <v>5943</v>
      </c>
      <c r="R20" s="107"/>
      <c r="S20" s="132"/>
    </row>
    <row r="21" spans="1:21" s="108" customFormat="1" x14ac:dyDescent="0.5">
      <c r="A21" s="105" t="s">
        <v>18</v>
      </c>
      <c r="B21" s="106" t="s">
        <v>16</v>
      </c>
      <c r="C21" s="106" t="s">
        <v>16</v>
      </c>
      <c r="D21" s="106" t="s">
        <v>16</v>
      </c>
      <c r="E21" s="106" t="s">
        <v>16</v>
      </c>
      <c r="F21" s="106" t="s">
        <v>16</v>
      </c>
      <c r="G21" s="106">
        <f>G20-F20</f>
        <v>-157</v>
      </c>
      <c r="H21" s="106">
        <f t="shared" ref="H21:K21" si="29">H20-G20</f>
        <v>1106</v>
      </c>
      <c r="I21" s="106">
        <f t="shared" si="29"/>
        <v>3496</v>
      </c>
      <c r="J21" s="106">
        <f t="shared" si="29"/>
        <v>35</v>
      </c>
      <c r="K21" s="106">
        <f t="shared" si="29"/>
        <v>-5712</v>
      </c>
      <c r="L21" s="106">
        <f t="shared" ref="L21:O21" si="30">L20-K20</f>
        <v>-5511</v>
      </c>
      <c r="M21" s="106">
        <f t="shared" si="30"/>
        <v>-110</v>
      </c>
      <c r="N21" s="106">
        <f t="shared" si="30"/>
        <v>971</v>
      </c>
      <c r="O21" s="106">
        <f t="shared" si="30"/>
        <v>4111</v>
      </c>
      <c r="P21" s="106">
        <f>P20-O20</f>
        <v>5554</v>
      </c>
      <c r="Q21" s="107">
        <f>Q20-P20</f>
        <v>-16946</v>
      </c>
      <c r="R21" s="107"/>
      <c r="S21" s="132"/>
    </row>
    <row r="22" spans="1:21" x14ac:dyDescent="0.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9"/>
      <c r="M22" s="109"/>
      <c r="N22" s="109"/>
      <c r="O22" s="109"/>
      <c r="P22" s="109"/>
      <c r="Q22" s="110"/>
      <c r="R22" s="110"/>
      <c r="S22" s="135"/>
    </row>
    <row r="23" spans="1:21" ht="21.5" thickBot="1" x14ac:dyDescent="0.55000000000000004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  <c r="R23" s="113"/>
      <c r="S23" s="122"/>
    </row>
    <row r="24" spans="1:21" ht="21.5" thickBot="1" x14ac:dyDescent="0.55000000000000004">
      <c r="A24" s="123" t="s">
        <v>26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5"/>
      <c r="R24" s="125"/>
      <c r="S24" s="126"/>
    </row>
    <row r="25" spans="1:21" x14ac:dyDescent="0.5">
      <c r="A25" s="74" t="s">
        <v>23</v>
      </c>
      <c r="L25" s="72"/>
      <c r="M25" s="72"/>
      <c r="N25" s="72"/>
      <c r="O25" s="72"/>
      <c r="P25" s="72"/>
      <c r="Q25" s="70"/>
      <c r="R25" s="70"/>
      <c r="S25" s="70"/>
    </row>
    <row r="26" spans="1:21" ht="21.5" thickBot="1" x14ac:dyDescent="0.55000000000000004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6"/>
      <c r="L26" s="116"/>
      <c r="M26" s="116"/>
      <c r="N26" s="116"/>
      <c r="O26" s="116"/>
      <c r="P26" s="116"/>
      <c r="Q26" s="117"/>
      <c r="R26" s="117"/>
      <c r="S26" s="118"/>
    </row>
    <row r="27" spans="1:21" x14ac:dyDescent="0.5">
      <c r="K27" s="78"/>
      <c r="L27" s="78"/>
      <c r="M27" s="78"/>
      <c r="N27" s="78"/>
      <c r="O27" s="78"/>
      <c r="P27" s="78"/>
      <c r="Q27" s="78"/>
      <c r="R27" s="78"/>
      <c r="S27" s="77"/>
    </row>
    <row r="28" spans="1:21" x14ac:dyDescent="0.5">
      <c r="K28" s="82"/>
      <c r="L28" s="82"/>
      <c r="M28" s="82"/>
      <c r="N28" s="82"/>
      <c r="O28" s="82"/>
      <c r="P28" s="82"/>
      <c r="Q28" s="82"/>
      <c r="R28" s="82"/>
      <c r="S28" s="77"/>
    </row>
    <row r="29" spans="1:21" x14ac:dyDescent="0.5">
      <c r="K29" s="82"/>
      <c r="L29" s="82"/>
      <c r="M29" s="82"/>
      <c r="N29" s="82"/>
      <c r="O29" s="82"/>
      <c r="P29" s="82"/>
      <c r="Q29" s="82"/>
      <c r="R29" s="82"/>
      <c r="S29" s="77"/>
    </row>
    <row r="30" spans="1:21" x14ac:dyDescent="0.5">
      <c r="K30" s="82"/>
      <c r="L30" s="82"/>
      <c r="M30" s="82"/>
      <c r="N30" s="82"/>
      <c r="O30" s="82"/>
      <c r="P30" s="82"/>
      <c r="Q30" s="82"/>
      <c r="R30" s="82"/>
      <c r="S30" s="77"/>
    </row>
    <row r="31" spans="1:21" x14ac:dyDescent="0.5">
      <c r="K31" s="82"/>
      <c r="L31" s="82"/>
      <c r="M31" s="82"/>
      <c r="N31" s="82"/>
      <c r="O31" s="82"/>
      <c r="P31" s="82"/>
      <c r="Q31" s="82"/>
      <c r="R31" s="82"/>
      <c r="S31" s="77"/>
    </row>
    <row r="32" spans="1:21" x14ac:dyDescent="0.5">
      <c r="J32" s="89"/>
      <c r="K32" s="86"/>
      <c r="L32" s="86"/>
      <c r="M32" s="86"/>
      <c r="N32" s="86"/>
      <c r="O32" s="86"/>
      <c r="P32" s="86"/>
      <c r="Q32" s="86"/>
      <c r="R32" s="86"/>
      <c r="S32" s="77"/>
      <c r="U32" s="77"/>
    </row>
    <row r="33" spans="10:21" x14ac:dyDescent="0.5">
      <c r="J33" s="89"/>
      <c r="K33" s="86"/>
      <c r="L33" s="86"/>
      <c r="M33" s="86"/>
      <c r="N33" s="86"/>
      <c r="O33" s="86"/>
      <c r="P33" s="86"/>
      <c r="Q33" s="86"/>
      <c r="R33" s="86"/>
      <c r="S33" s="77"/>
      <c r="U33" s="77"/>
    </row>
    <row r="34" spans="10:21" x14ac:dyDescent="0.5">
      <c r="K34" s="90"/>
      <c r="L34" s="90"/>
      <c r="M34" s="90"/>
      <c r="N34" s="90"/>
      <c r="O34" s="90"/>
      <c r="P34" s="90"/>
      <c r="Q34" s="90"/>
      <c r="R34" s="90"/>
      <c r="U34" s="77"/>
    </row>
    <row r="35" spans="10:21" x14ac:dyDescent="0.5">
      <c r="K35" s="90"/>
      <c r="L35" s="90"/>
      <c r="M35" s="90"/>
      <c r="N35" s="90"/>
      <c r="O35" s="90"/>
      <c r="P35" s="90"/>
      <c r="Q35" s="90"/>
      <c r="R35" s="90"/>
    </row>
    <row r="36" spans="10:21" x14ac:dyDescent="0.5">
      <c r="J36" s="77"/>
      <c r="K36" s="94"/>
      <c r="L36" s="94"/>
      <c r="M36" s="94"/>
      <c r="N36" s="94"/>
      <c r="O36" s="94"/>
      <c r="P36" s="94"/>
      <c r="Q36" s="94"/>
      <c r="R36" s="94"/>
      <c r="S36" s="77"/>
    </row>
    <row r="37" spans="10:21" x14ac:dyDescent="0.5">
      <c r="K37" s="96"/>
      <c r="L37" s="96"/>
      <c r="M37" s="96"/>
      <c r="N37" s="96"/>
      <c r="O37" s="96"/>
      <c r="P37" s="96"/>
      <c r="Q37" s="96"/>
      <c r="R37" s="96"/>
    </row>
    <row r="38" spans="10:21" x14ac:dyDescent="0.5">
      <c r="J38" s="77"/>
      <c r="K38" s="96"/>
      <c r="L38" s="96"/>
      <c r="M38" s="96"/>
      <c r="N38" s="96"/>
      <c r="O38" s="96"/>
      <c r="P38" s="96"/>
      <c r="Q38" s="96"/>
      <c r="R38" s="96"/>
    </row>
    <row r="39" spans="10:21" x14ac:dyDescent="0.5">
      <c r="K39" s="96"/>
      <c r="L39" s="96"/>
      <c r="M39" s="96"/>
      <c r="N39" s="96"/>
      <c r="O39" s="96"/>
      <c r="P39" s="96"/>
      <c r="Q39" s="96"/>
      <c r="R39" s="96"/>
    </row>
    <row r="40" spans="10:21" x14ac:dyDescent="0.5">
      <c r="J40" s="119"/>
      <c r="K40" s="101"/>
      <c r="L40" s="101"/>
      <c r="M40" s="101"/>
      <c r="N40" s="101"/>
      <c r="O40" s="101"/>
      <c r="P40" s="101"/>
      <c r="Q40" s="101"/>
      <c r="R40" s="101"/>
    </row>
    <row r="41" spans="10:21" x14ac:dyDescent="0.5">
      <c r="J41" s="103"/>
      <c r="K41" s="103"/>
      <c r="L41" s="103"/>
      <c r="M41" s="103"/>
      <c r="N41" s="103"/>
      <c r="O41" s="103"/>
      <c r="P41" s="103"/>
      <c r="Q41" s="103"/>
      <c r="R41" s="103"/>
    </row>
    <row r="42" spans="10:21" x14ac:dyDescent="0.5">
      <c r="J42" s="120"/>
      <c r="K42" s="106"/>
      <c r="L42" s="106"/>
      <c r="M42" s="106"/>
      <c r="N42" s="106"/>
      <c r="O42" s="106"/>
      <c r="P42" s="106"/>
      <c r="Q42" s="106"/>
      <c r="R42" s="106"/>
      <c r="S42" s="108"/>
    </row>
    <row r="43" spans="10:21" x14ac:dyDescent="0.5">
      <c r="J43" s="120"/>
      <c r="K43" s="106"/>
      <c r="L43" s="106"/>
      <c r="M43" s="106"/>
      <c r="N43" s="106"/>
      <c r="O43" s="106"/>
      <c r="P43" s="106"/>
      <c r="Q43" s="106"/>
      <c r="R43" s="106"/>
      <c r="S43" s="108"/>
    </row>
    <row r="44" spans="10:21" x14ac:dyDescent="0.5">
      <c r="J44" s="103"/>
      <c r="K44" s="103"/>
      <c r="L44" s="109"/>
      <c r="M44" s="109"/>
      <c r="N44" s="109"/>
      <c r="O44" s="109"/>
      <c r="P44" s="109"/>
      <c r="Q44" s="109"/>
      <c r="R44" s="109"/>
    </row>
  </sheetData>
  <mergeCells count="2">
    <mergeCell ref="A2:S2"/>
    <mergeCell ref="A1:S1"/>
  </mergeCells>
  <printOptions horizontalCentered="1"/>
  <pageMargins left="0.7" right="0.7" top="1.03" bottom="0.75" header="0.3" footer="0.3"/>
  <pageSetup scale="56" orientation="landscape" r:id="rId1"/>
  <headerFooter>
    <oddHeader>&amp;RWorking Papers
For Discussion Purposes Only
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topLeftCell="A2" zoomScale="70" zoomScaleNormal="70" workbookViewId="0">
      <selection activeCell="C21" sqref="C21"/>
    </sheetView>
  </sheetViews>
  <sheetFormatPr defaultRowHeight="14.5" x14ac:dyDescent="0.35"/>
  <cols>
    <col min="1" max="1" width="23.54296875" bestFit="1" customWidth="1"/>
    <col min="2" max="5" width="14.26953125" bestFit="1" customWidth="1"/>
    <col min="6" max="9" width="14.26953125" customWidth="1"/>
    <col min="12" max="12" width="9.81640625" bestFit="1" customWidth="1"/>
  </cols>
  <sheetData>
    <row r="1" spans="1:10" ht="18.5" x14ac:dyDescent="0.45">
      <c r="A1" s="142" t="s">
        <v>6</v>
      </c>
      <c r="B1" s="143"/>
      <c r="C1" s="143"/>
      <c r="D1" s="143"/>
      <c r="E1" s="143"/>
      <c r="F1" s="143"/>
      <c r="G1" s="143"/>
      <c r="H1" s="143"/>
      <c r="I1" s="31"/>
      <c r="J1" s="46"/>
    </row>
    <row r="2" spans="1:10" ht="18" customHeight="1" x14ac:dyDescent="0.35">
      <c r="A2" s="144" t="s">
        <v>11</v>
      </c>
      <c r="B2" s="145"/>
      <c r="C2" s="145"/>
      <c r="D2" s="145"/>
      <c r="E2" s="145"/>
      <c r="F2" s="145"/>
      <c r="G2" s="145"/>
      <c r="H2" s="145"/>
      <c r="I2" s="32"/>
      <c r="J2" s="47"/>
    </row>
    <row r="3" spans="1:10" ht="14.5" customHeight="1" x14ac:dyDescent="0.35">
      <c r="A3" s="146" t="s">
        <v>15</v>
      </c>
      <c r="B3" s="147"/>
      <c r="C3" s="147"/>
      <c r="D3" s="147"/>
      <c r="E3" s="147"/>
      <c r="F3" s="147"/>
      <c r="G3" s="147"/>
      <c r="H3" s="147"/>
      <c r="I3" s="21"/>
      <c r="J3" s="48"/>
    </row>
    <row r="4" spans="1:10" x14ac:dyDescent="0.35">
      <c r="A4" s="3"/>
      <c r="B4" s="16">
        <v>2011</v>
      </c>
      <c r="C4" s="16">
        <v>2012</v>
      </c>
      <c r="D4" s="16">
        <v>2013</v>
      </c>
      <c r="E4" s="16">
        <v>2014</v>
      </c>
      <c r="F4" s="17">
        <v>2015</v>
      </c>
      <c r="G4" s="17">
        <v>2016</v>
      </c>
      <c r="H4" s="17">
        <v>2017</v>
      </c>
      <c r="I4" s="33">
        <v>2018</v>
      </c>
      <c r="J4" s="21" t="s">
        <v>14</v>
      </c>
    </row>
    <row r="5" spans="1:10" s="1" customFormat="1" x14ac:dyDescent="0.35">
      <c r="A5" s="3" t="s">
        <v>0</v>
      </c>
      <c r="B5" s="5">
        <v>405</v>
      </c>
      <c r="C5" s="5">
        <v>418</v>
      </c>
      <c r="D5" s="5">
        <v>409</v>
      </c>
      <c r="E5" s="5">
        <v>456</v>
      </c>
      <c r="F5" s="5">
        <v>447</v>
      </c>
      <c r="G5" s="5">
        <v>459</v>
      </c>
      <c r="H5" s="5">
        <v>832</v>
      </c>
      <c r="I5" s="34">
        <v>692</v>
      </c>
      <c r="J5" s="19">
        <f>I5-H5</f>
        <v>-140</v>
      </c>
    </row>
    <row r="6" spans="1:10" x14ac:dyDescent="0.35">
      <c r="A6" s="3" t="s">
        <v>1</v>
      </c>
      <c r="B6" s="6">
        <v>512</v>
      </c>
      <c r="C6" s="6">
        <v>432</v>
      </c>
      <c r="D6" s="6">
        <v>412</v>
      </c>
      <c r="E6" s="6">
        <v>505</v>
      </c>
      <c r="F6" s="6">
        <v>559</v>
      </c>
      <c r="G6" s="6">
        <f>617+120</f>
        <v>737</v>
      </c>
      <c r="H6" s="6">
        <f>601+170</f>
        <v>771</v>
      </c>
      <c r="I6" s="35">
        <v>1951</v>
      </c>
      <c r="J6" s="19">
        <f t="shared" ref="J6:J10" si="0">I6-H6</f>
        <v>1180</v>
      </c>
    </row>
    <row r="7" spans="1:10" x14ac:dyDescent="0.35">
      <c r="A7" s="3" t="s">
        <v>2</v>
      </c>
      <c r="B7" s="6">
        <v>10417</v>
      </c>
      <c r="C7" s="6">
        <v>9745</v>
      </c>
      <c r="D7" s="6">
        <v>9840</v>
      </c>
      <c r="E7" s="6">
        <v>10084</v>
      </c>
      <c r="F7" s="6">
        <v>9343</v>
      </c>
      <c r="G7" s="6">
        <f>7854+642</f>
        <v>8496</v>
      </c>
      <c r="H7" s="6">
        <f>8458+344</f>
        <v>8802</v>
      </c>
      <c r="I7" s="35">
        <f>8941+260</f>
        <v>9201</v>
      </c>
      <c r="J7" s="19">
        <f t="shared" si="0"/>
        <v>399</v>
      </c>
    </row>
    <row r="8" spans="1:10" x14ac:dyDescent="0.35">
      <c r="A8" s="3" t="s">
        <v>3</v>
      </c>
      <c r="B8" s="6">
        <v>25867</v>
      </c>
      <c r="C8" s="6">
        <v>28213</v>
      </c>
      <c r="D8" s="6">
        <v>34231</v>
      </c>
      <c r="E8" s="6">
        <v>44866</v>
      </c>
      <c r="F8" s="6">
        <v>31891</v>
      </c>
      <c r="G8" s="6">
        <f>17874+9719</f>
        <v>27593</v>
      </c>
      <c r="H8" s="6">
        <v>24608</v>
      </c>
      <c r="I8" s="35">
        <v>27890</v>
      </c>
      <c r="J8" s="19">
        <f t="shared" si="0"/>
        <v>3282</v>
      </c>
    </row>
    <row r="9" spans="1:10" x14ac:dyDescent="0.35">
      <c r="A9" s="3" t="s">
        <v>4</v>
      </c>
      <c r="B9" s="6">
        <v>32161</v>
      </c>
      <c r="C9" s="6">
        <v>28198</v>
      </c>
      <c r="D9" s="6">
        <v>22533</v>
      </c>
      <c r="E9" s="6">
        <v>3719</v>
      </c>
      <c r="F9" s="6">
        <v>5990</v>
      </c>
      <c r="G9" s="6">
        <v>5799</v>
      </c>
      <c r="H9" s="6">
        <v>12814</v>
      </c>
      <c r="I9" s="35">
        <v>15197</v>
      </c>
      <c r="J9" s="19">
        <f t="shared" si="0"/>
        <v>2383</v>
      </c>
    </row>
    <row r="10" spans="1:10" s="1" customFormat="1" x14ac:dyDescent="0.35">
      <c r="A10" s="10" t="s">
        <v>5</v>
      </c>
      <c r="B10" s="15">
        <f t="shared" ref="B10:G10" si="1">B5+SUM(B6:B9)</f>
        <v>69362</v>
      </c>
      <c r="C10" s="15">
        <f t="shared" si="1"/>
        <v>67006</v>
      </c>
      <c r="D10" s="15">
        <f t="shared" si="1"/>
        <v>67425</v>
      </c>
      <c r="E10" s="15">
        <f t="shared" si="1"/>
        <v>59630</v>
      </c>
      <c r="F10" s="15">
        <f t="shared" si="1"/>
        <v>48230</v>
      </c>
      <c r="G10" s="15">
        <f t="shared" si="1"/>
        <v>43084</v>
      </c>
      <c r="H10" s="15">
        <f t="shared" ref="H10:I10" si="2">H5+SUM(H6:H9)</f>
        <v>47827</v>
      </c>
      <c r="I10" s="36">
        <f t="shared" si="2"/>
        <v>54931</v>
      </c>
      <c r="J10" s="19">
        <f t="shared" si="0"/>
        <v>7104</v>
      </c>
    </row>
    <row r="11" spans="1:10" s="1" customFormat="1" x14ac:dyDescent="0.35">
      <c r="A11" s="10"/>
      <c r="B11" s="15"/>
      <c r="C11" s="15"/>
      <c r="D11" s="15"/>
      <c r="E11" s="15"/>
      <c r="F11" s="15"/>
      <c r="G11" s="15"/>
      <c r="H11" s="15"/>
      <c r="I11" s="36"/>
      <c r="J11" s="19"/>
    </row>
    <row r="12" spans="1:10" x14ac:dyDescent="0.35">
      <c r="A12" s="3" t="s">
        <v>13</v>
      </c>
      <c r="B12" s="13"/>
      <c r="C12" s="14">
        <f>C10-B10</f>
        <v>-2356</v>
      </c>
      <c r="D12" s="14">
        <f t="shared" ref="D12:G12" si="3">D10-C10</f>
        <v>419</v>
      </c>
      <c r="E12" s="14">
        <f t="shared" si="3"/>
        <v>-7795</v>
      </c>
      <c r="F12" s="14">
        <f t="shared" si="3"/>
        <v>-11400</v>
      </c>
      <c r="G12" s="14">
        <f t="shared" si="3"/>
        <v>-5146</v>
      </c>
      <c r="H12" s="14">
        <f>H10-G10</f>
        <v>4743</v>
      </c>
      <c r="I12" s="37">
        <f>I10-H10</f>
        <v>7104</v>
      </c>
      <c r="J12" s="12"/>
    </row>
    <row r="13" spans="1:10" x14ac:dyDescent="0.35">
      <c r="A13" s="3"/>
      <c r="B13" s="13"/>
      <c r="C13" s="14"/>
      <c r="D13" s="14"/>
      <c r="E13" s="14"/>
      <c r="F13" s="14"/>
      <c r="G13" s="14"/>
      <c r="H13" s="14"/>
      <c r="I13" s="37"/>
      <c r="J13" s="12"/>
    </row>
    <row r="14" spans="1:10" s="1" customFormat="1" x14ac:dyDescent="0.35">
      <c r="A14" s="4" t="s">
        <v>12</v>
      </c>
      <c r="B14" s="1">
        <v>215499</v>
      </c>
      <c r="C14" s="2">
        <v>208486</v>
      </c>
      <c r="D14" s="1">
        <v>218701</v>
      </c>
      <c r="E14" s="1">
        <v>236487</v>
      </c>
      <c r="F14" s="11">
        <v>251420</v>
      </c>
      <c r="G14" s="11">
        <v>269644</v>
      </c>
      <c r="H14" s="11">
        <v>289577</v>
      </c>
      <c r="I14" s="38">
        <v>307504</v>
      </c>
      <c r="J14" s="19"/>
    </row>
    <row r="15" spans="1:10" x14ac:dyDescent="0.35">
      <c r="A15" s="3" t="s">
        <v>7</v>
      </c>
      <c r="B15" s="7">
        <f>B10/B14</f>
        <v>0.32186692281634716</v>
      </c>
      <c r="C15" s="7">
        <f t="shared" ref="C15:I15" si="4">C10/C14</f>
        <v>0.32139328300221598</v>
      </c>
      <c r="D15" s="7">
        <f t="shared" si="4"/>
        <v>0.30829763009771333</v>
      </c>
      <c r="E15" s="7">
        <f t="shared" si="4"/>
        <v>0.25214916676180932</v>
      </c>
      <c r="F15" s="7">
        <f t="shared" si="4"/>
        <v>0.19183040330920373</v>
      </c>
      <c r="G15" s="7">
        <f t="shared" si="4"/>
        <v>0.15978104463663201</v>
      </c>
      <c r="H15" s="7">
        <f t="shared" si="4"/>
        <v>0.16516159777882913</v>
      </c>
      <c r="I15" s="39">
        <f t="shared" si="4"/>
        <v>0.17863507466569539</v>
      </c>
      <c r="J15" s="12"/>
    </row>
    <row r="16" spans="1:10" x14ac:dyDescent="0.35">
      <c r="A16" s="4" t="s">
        <v>9</v>
      </c>
      <c r="B16" s="7">
        <f>B8/B14</f>
        <v>0.12003303959647145</v>
      </c>
      <c r="C16" s="7">
        <f t="shared" ref="C16:G16" si="5">C8/C14</f>
        <v>0.13532323513329433</v>
      </c>
      <c r="D16" s="7">
        <f t="shared" si="5"/>
        <v>0.15651963182610049</v>
      </c>
      <c r="E16" s="7">
        <f t="shared" si="5"/>
        <v>0.18971867375373699</v>
      </c>
      <c r="F16" s="7">
        <f t="shared" si="5"/>
        <v>0.12684352875666216</v>
      </c>
      <c r="G16" s="7">
        <f t="shared" si="5"/>
        <v>0.10233122190740383</v>
      </c>
      <c r="H16" s="7">
        <f>H8/H14</f>
        <v>8.4979124723303295E-2</v>
      </c>
      <c r="I16" s="39">
        <f t="shared" ref="I16" si="6">I8/I14</f>
        <v>9.0698007180394405E-2</v>
      </c>
      <c r="J16" s="12"/>
    </row>
    <row r="17" spans="1:13" x14ac:dyDescent="0.35">
      <c r="A17" s="8" t="s">
        <v>10</v>
      </c>
      <c r="B17" s="9">
        <f>B9/B14</f>
        <v>0.14923967164580809</v>
      </c>
      <c r="C17" s="9">
        <f t="shared" ref="C17:G17" si="7">C9/C14</f>
        <v>0.13525128785625892</v>
      </c>
      <c r="D17" s="9">
        <f t="shared" si="7"/>
        <v>0.10303107896168742</v>
      </c>
      <c r="E17" s="9">
        <f t="shared" si="7"/>
        <v>1.5726022994921495E-2</v>
      </c>
      <c r="F17" s="9">
        <f t="shared" si="7"/>
        <v>2.382467584122186E-2</v>
      </c>
      <c r="G17" s="9">
        <f t="shared" si="7"/>
        <v>2.150613401373663E-2</v>
      </c>
      <c r="H17" s="9">
        <f>H9/H14</f>
        <v>4.4250751958891762E-2</v>
      </c>
      <c r="I17" s="40">
        <f t="shared" ref="I17" si="8">I9/I14</f>
        <v>4.942049534315001E-2</v>
      </c>
      <c r="J17" s="12"/>
    </row>
    <row r="18" spans="1:13" ht="15" customHeight="1" x14ac:dyDescent="0.35">
      <c r="A18" s="24" t="s">
        <v>8</v>
      </c>
      <c r="B18" s="23">
        <f>SUM(B8:B9)/B14</f>
        <v>0.26927271124227953</v>
      </c>
      <c r="C18" s="23">
        <f>SUM(C8:C9)/C14</f>
        <v>0.27057452298955326</v>
      </c>
      <c r="D18" s="23">
        <f t="shared" ref="D18:F18" si="9">SUM(D8:D9)/D14</f>
        <v>0.25955071078778791</v>
      </c>
      <c r="E18" s="23">
        <f t="shared" si="9"/>
        <v>0.20544469674865848</v>
      </c>
      <c r="F18" s="23">
        <f t="shared" si="9"/>
        <v>0.15066820459788402</v>
      </c>
      <c r="G18" s="23">
        <f t="shared" ref="G18" si="10">SUM(G8:G9)/G14</f>
        <v>0.12383735592114047</v>
      </c>
      <c r="H18" s="23">
        <f>SUM(H8:H9)/H14</f>
        <v>0.12922987668219507</v>
      </c>
      <c r="I18" s="41">
        <f t="shared" ref="I18" si="11">SUM(I8:I9)/I14</f>
        <v>0.14011850252354441</v>
      </c>
      <c r="J18" s="12"/>
    </row>
    <row r="19" spans="1:13" x14ac:dyDescent="0.35">
      <c r="A19" s="25"/>
      <c r="B19" s="18"/>
      <c r="C19" s="18"/>
      <c r="D19" s="18"/>
      <c r="E19" s="18"/>
      <c r="F19" s="18"/>
      <c r="G19" s="18"/>
      <c r="H19" s="18"/>
      <c r="I19" s="42"/>
      <c r="J19" s="12"/>
    </row>
    <row r="20" spans="1:13" s="22" customFormat="1" x14ac:dyDescent="0.35">
      <c r="A20" s="49" t="s">
        <v>17</v>
      </c>
      <c r="B20" s="29">
        <v>19106</v>
      </c>
      <c r="C20" s="29">
        <v>18949</v>
      </c>
      <c r="D20" s="29">
        <v>20055</v>
      </c>
      <c r="E20" s="29">
        <v>23551</v>
      </c>
      <c r="F20" s="29">
        <v>23586</v>
      </c>
      <c r="G20" s="29">
        <v>17874</v>
      </c>
      <c r="H20" s="29">
        <v>12363</v>
      </c>
      <c r="I20" s="43">
        <v>12253</v>
      </c>
      <c r="J20" s="26"/>
    </row>
    <row r="21" spans="1:13" s="22" customFormat="1" x14ac:dyDescent="0.35">
      <c r="A21" s="50" t="s">
        <v>18</v>
      </c>
      <c r="B21" s="30" t="s">
        <v>16</v>
      </c>
      <c r="C21" s="30">
        <f t="shared" ref="C21:G21" si="12">C20-B20</f>
        <v>-157</v>
      </c>
      <c r="D21" s="30">
        <f t="shared" si="12"/>
        <v>1106</v>
      </c>
      <c r="E21" s="30">
        <f t="shared" si="12"/>
        <v>3496</v>
      </c>
      <c r="F21" s="30">
        <f t="shared" si="12"/>
        <v>35</v>
      </c>
      <c r="G21" s="30">
        <f t="shared" si="12"/>
        <v>-5712</v>
      </c>
      <c r="H21" s="30">
        <f>H20-G20</f>
        <v>-5511</v>
      </c>
      <c r="I21" s="44">
        <f>I20-H20</f>
        <v>-110</v>
      </c>
      <c r="J21" s="26"/>
    </row>
    <row r="22" spans="1:13" ht="15" thickBot="1" x14ac:dyDescent="0.4">
      <c r="A22" s="27"/>
      <c r="B22" s="28"/>
      <c r="C22" s="28"/>
      <c r="D22" s="28"/>
      <c r="E22" s="28"/>
      <c r="F22" s="28"/>
      <c r="G22" s="28"/>
      <c r="H22" s="51"/>
      <c r="I22" s="45"/>
      <c r="J22" s="20"/>
    </row>
    <row r="23" spans="1:13" x14ac:dyDescent="0.35">
      <c r="A23" s="18"/>
      <c r="B23" s="18"/>
      <c r="C23" s="18"/>
      <c r="D23" s="18"/>
      <c r="E23" s="18"/>
      <c r="F23" s="18"/>
      <c r="G23" s="18"/>
      <c r="H23" s="18"/>
      <c r="I23" s="18"/>
    </row>
    <row r="24" spans="1:13" ht="15" thickBot="1" x14ac:dyDescent="0.4">
      <c r="A24" s="18"/>
      <c r="B24" s="18"/>
      <c r="C24" s="18"/>
      <c r="D24" s="18"/>
      <c r="E24" s="18"/>
      <c r="F24" s="18"/>
      <c r="G24" s="18"/>
      <c r="H24" s="18"/>
      <c r="I24" s="18"/>
    </row>
    <row r="25" spans="1:13" ht="15" thickBot="1" x14ac:dyDescent="0.4">
      <c r="F25" s="66"/>
      <c r="G25" s="66"/>
      <c r="H25" s="148" t="s">
        <v>20</v>
      </c>
      <c r="I25" s="149"/>
      <c r="J25" s="150"/>
    </row>
    <row r="26" spans="1:13" x14ac:dyDescent="0.35">
      <c r="F26" s="3"/>
      <c r="G26" s="67">
        <v>2016</v>
      </c>
      <c r="H26" s="52">
        <v>2017</v>
      </c>
      <c r="I26" s="53" t="s">
        <v>19</v>
      </c>
      <c r="J26" s="54" t="s">
        <v>14</v>
      </c>
    </row>
    <row r="27" spans="1:13" x14ac:dyDescent="0.35">
      <c r="F27" s="3" t="s">
        <v>0</v>
      </c>
      <c r="G27" s="55">
        <v>459</v>
      </c>
      <c r="H27" s="55">
        <v>756</v>
      </c>
      <c r="I27" s="34">
        <v>593</v>
      </c>
      <c r="J27" s="19">
        <f>I27-H27</f>
        <v>-163</v>
      </c>
    </row>
    <row r="28" spans="1:13" x14ac:dyDescent="0.35">
      <c r="F28" s="3" t="s">
        <v>1</v>
      </c>
      <c r="G28" s="56">
        <f>617+120</f>
        <v>737</v>
      </c>
      <c r="H28" s="56">
        <f>601+170</f>
        <v>771</v>
      </c>
      <c r="I28" s="35">
        <f>832+1177</f>
        <v>2009</v>
      </c>
      <c r="J28" s="19">
        <f t="shared" ref="J28:J32" si="13">I28-H28</f>
        <v>1238</v>
      </c>
    </row>
    <row r="29" spans="1:13" x14ac:dyDescent="0.35">
      <c r="F29" s="3" t="s">
        <v>2</v>
      </c>
      <c r="G29" s="56">
        <f>7854+642</f>
        <v>8496</v>
      </c>
      <c r="H29" s="56">
        <f>8458+344</f>
        <v>8802</v>
      </c>
      <c r="I29" s="35">
        <f>8941+260</f>
        <v>9201</v>
      </c>
      <c r="J29" s="19">
        <f t="shared" si="13"/>
        <v>399</v>
      </c>
    </row>
    <row r="30" spans="1:13" x14ac:dyDescent="0.35">
      <c r="F30" s="3" t="s">
        <v>3</v>
      </c>
      <c r="G30" s="56">
        <f>17874+9719</f>
        <v>27593</v>
      </c>
      <c r="H30" s="56">
        <f>23697</f>
        <v>23697</v>
      </c>
      <c r="I30" s="35">
        <v>26635</v>
      </c>
      <c r="J30" s="19">
        <f t="shared" si="13"/>
        <v>2938</v>
      </c>
    </row>
    <row r="31" spans="1:13" x14ac:dyDescent="0.35">
      <c r="F31" s="3" t="s">
        <v>4</v>
      </c>
      <c r="G31" s="56">
        <v>5799</v>
      </c>
      <c r="H31" s="56">
        <v>12814</v>
      </c>
      <c r="I31" s="35">
        <v>15294</v>
      </c>
      <c r="J31" s="19">
        <f t="shared" si="13"/>
        <v>2480</v>
      </c>
    </row>
    <row r="32" spans="1:13" x14ac:dyDescent="0.35">
      <c r="F32" s="10" t="s">
        <v>5</v>
      </c>
      <c r="G32" s="57">
        <f t="shared" ref="G32" si="14">G27+SUM(G28:G31)</f>
        <v>43084</v>
      </c>
      <c r="H32" s="57">
        <f t="shared" ref="H32:I32" si="15">H27+SUM(H28:H31)</f>
        <v>46840</v>
      </c>
      <c r="I32" s="36">
        <f t="shared" si="15"/>
        <v>53732</v>
      </c>
      <c r="J32" s="19">
        <f t="shared" si="13"/>
        <v>6892</v>
      </c>
      <c r="L32" s="1">
        <f>H32+912+75</f>
        <v>47827</v>
      </c>
      <c r="M32" t="s">
        <v>21</v>
      </c>
    </row>
    <row r="33" spans="6:13" x14ac:dyDescent="0.35">
      <c r="F33" s="10"/>
      <c r="G33" s="57"/>
      <c r="H33" s="57"/>
      <c r="I33" s="36"/>
      <c r="J33" s="19"/>
      <c r="L33" s="1">
        <f>H12-H34</f>
        <v>987</v>
      </c>
      <c r="M33" t="s">
        <v>22</v>
      </c>
    </row>
    <row r="34" spans="6:13" x14ac:dyDescent="0.35">
      <c r="F34" s="3" t="s">
        <v>13</v>
      </c>
      <c r="G34" s="58">
        <v>-5146</v>
      </c>
      <c r="H34" s="58">
        <f>H32-G32</f>
        <v>3756</v>
      </c>
      <c r="I34" s="37">
        <f>I32-H32</f>
        <v>6892</v>
      </c>
      <c r="J34" s="12"/>
      <c r="L34" s="1">
        <f>J10-J32</f>
        <v>212</v>
      </c>
    </row>
    <row r="35" spans="6:13" x14ac:dyDescent="0.35">
      <c r="F35" s="3"/>
      <c r="G35" s="58"/>
      <c r="H35" s="58"/>
      <c r="I35" s="37"/>
      <c r="J35" s="12"/>
    </row>
    <row r="36" spans="6:13" x14ac:dyDescent="0.35">
      <c r="F36" s="4" t="s">
        <v>12</v>
      </c>
      <c r="G36" s="59">
        <v>269644</v>
      </c>
      <c r="H36" s="59">
        <v>289577</v>
      </c>
      <c r="I36" s="38">
        <v>300594</v>
      </c>
      <c r="J36" s="19"/>
    </row>
    <row r="37" spans="6:13" x14ac:dyDescent="0.35">
      <c r="F37" s="3" t="s">
        <v>7</v>
      </c>
      <c r="G37" s="60">
        <f t="shared" ref="G37:I37" si="16">G32/G36</f>
        <v>0.15978104463663201</v>
      </c>
      <c r="H37" s="60">
        <f t="shared" si="16"/>
        <v>0.16175317791122915</v>
      </c>
      <c r="I37" s="39">
        <f t="shared" si="16"/>
        <v>0.17875273624889385</v>
      </c>
      <c r="J37" s="12"/>
    </row>
    <row r="38" spans="6:13" x14ac:dyDescent="0.35">
      <c r="F38" s="4" t="s">
        <v>9</v>
      </c>
      <c r="G38" s="60">
        <f t="shared" ref="G38" si="17">G30/G36</f>
        <v>0.10233122190740383</v>
      </c>
      <c r="H38" s="60">
        <f>H30/H36</f>
        <v>8.1833156638821458E-2</v>
      </c>
      <c r="I38" s="39">
        <f t="shared" ref="I38" si="18">I30/I36</f>
        <v>8.8607889711704163E-2</v>
      </c>
      <c r="J38" s="12"/>
    </row>
    <row r="39" spans="6:13" x14ac:dyDescent="0.35">
      <c r="F39" s="8" t="s">
        <v>10</v>
      </c>
      <c r="G39" s="61">
        <f t="shared" ref="G39" si="19">G31/G36</f>
        <v>2.150613401373663E-2</v>
      </c>
      <c r="H39" s="61">
        <f>H31/H36</f>
        <v>4.4250751958891762E-2</v>
      </c>
      <c r="I39" s="40">
        <f t="shared" ref="I39" si="20">I31/I36</f>
        <v>5.0879259067047246E-2</v>
      </c>
      <c r="J39" s="12"/>
    </row>
    <row r="40" spans="6:13" x14ac:dyDescent="0.35">
      <c r="F40" s="24" t="s">
        <v>8</v>
      </c>
      <c r="G40" s="62">
        <f t="shared" ref="G40" si="21">SUM(G30:G31)/G36</f>
        <v>0.12383735592114047</v>
      </c>
      <c r="H40" s="62">
        <f>SUM(H30:H31)/H36</f>
        <v>0.12608390859771321</v>
      </c>
      <c r="I40" s="41">
        <f t="shared" ref="I40" si="22">SUM(I30:I31)/I36</f>
        <v>0.1394871487787514</v>
      </c>
      <c r="J40" s="12"/>
    </row>
    <row r="41" spans="6:13" x14ac:dyDescent="0.35">
      <c r="F41" s="25"/>
      <c r="G41" s="25"/>
      <c r="H41" s="25"/>
      <c r="I41" s="42"/>
      <c r="J41" s="12"/>
    </row>
    <row r="42" spans="6:13" x14ac:dyDescent="0.35">
      <c r="F42" s="49" t="s">
        <v>17</v>
      </c>
      <c r="G42" s="63">
        <v>17874</v>
      </c>
      <c r="H42" s="63">
        <v>12363</v>
      </c>
      <c r="I42" s="43">
        <v>12253</v>
      </c>
      <c r="J42" s="26"/>
    </row>
    <row r="43" spans="6:13" x14ac:dyDescent="0.35">
      <c r="F43" s="50" t="s">
        <v>18</v>
      </c>
      <c r="G43" s="64">
        <f>G21</f>
        <v>-5712</v>
      </c>
      <c r="H43" s="64">
        <f>H42-G42</f>
        <v>-5511</v>
      </c>
      <c r="I43" s="44">
        <f>I42-H42</f>
        <v>-110</v>
      </c>
      <c r="J43" s="26"/>
    </row>
    <row r="44" spans="6:13" ht="15" thickBot="1" x14ac:dyDescent="0.4">
      <c r="F44" s="27"/>
      <c r="G44" s="27"/>
      <c r="H44" s="65"/>
      <c r="I44" s="45"/>
      <c r="J44" s="20"/>
    </row>
  </sheetData>
  <mergeCells count="4">
    <mergeCell ref="A1:H1"/>
    <mergeCell ref="A2:H2"/>
    <mergeCell ref="A3:H3"/>
    <mergeCell ref="H25:J25"/>
  </mergeCells>
  <printOptions horizontalCentered="1"/>
  <pageMargins left="0.7" right="0.7" top="0.75" bottom="0.75" header="0.3" footer="0.3"/>
  <pageSetup scale="60" orientation="landscape" r:id="rId1"/>
  <headerFooter>
    <oddHeader>&amp;RWorking Papers
For Discussion Purposes Only
As of COB 8-17-18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view="pageBreakPreview" topLeftCell="A13" zoomScale="60" zoomScaleNormal="70" workbookViewId="0">
      <selection activeCell="L46" sqref="L46"/>
    </sheetView>
  </sheetViews>
  <sheetFormatPr defaultRowHeight="14.5" x14ac:dyDescent="0.35"/>
  <cols>
    <col min="1" max="1" width="23.54296875" bestFit="1" customWidth="1"/>
    <col min="2" max="5" width="14.26953125" bestFit="1" customWidth="1"/>
    <col min="6" max="9" width="14.26953125" customWidth="1"/>
    <col min="12" max="12" width="9.81640625" bestFit="1" customWidth="1"/>
  </cols>
  <sheetData>
    <row r="1" spans="1:10" ht="18.5" x14ac:dyDescent="0.45">
      <c r="A1" s="142" t="s">
        <v>6</v>
      </c>
      <c r="B1" s="143"/>
      <c r="C1" s="143"/>
      <c r="D1" s="143"/>
      <c r="E1" s="143"/>
      <c r="F1" s="143"/>
      <c r="G1" s="143"/>
      <c r="H1" s="143"/>
      <c r="I1" s="31"/>
      <c r="J1" s="46"/>
    </row>
    <row r="2" spans="1:10" ht="18" customHeight="1" x14ac:dyDescent="0.35">
      <c r="A2" s="144" t="s">
        <v>11</v>
      </c>
      <c r="B2" s="145"/>
      <c r="C2" s="145"/>
      <c r="D2" s="145"/>
      <c r="E2" s="145"/>
      <c r="F2" s="145"/>
      <c r="G2" s="145"/>
      <c r="H2" s="145"/>
      <c r="I2" s="32"/>
      <c r="J2" s="47"/>
    </row>
    <row r="3" spans="1:10" ht="14.5" customHeight="1" x14ac:dyDescent="0.35">
      <c r="A3" s="146" t="s">
        <v>15</v>
      </c>
      <c r="B3" s="147"/>
      <c r="C3" s="147"/>
      <c r="D3" s="147"/>
      <c r="E3" s="147"/>
      <c r="F3" s="147"/>
      <c r="G3" s="147"/>
      <c r="H3" s="147"/>
      <c r="I3" s="21"/>
      <c r="J3" s="48"/>
    </row>
    <row r="4" spans="1:10" x14ac:dyDescent="0.35">
      <c r="A4" s="3"/>
      <c r="B4" s="16">
        <v>2011</v>
      </c>
      <c r="C4" s="16">
        <v>2012</v>
      </c>
      <c r="D4" s="16">
        <v>2013</v>
      </c>
      <c r="E4" s="16">
        <v>2014</v>
      </c>
      <c r="F4" s="17">
        <v>2015</v>
      </c>
      <c r="G4" s="17">
        <v>2016</v>
      </c>
      <c r="H4" s="17">
        <v>2017</v>
      </c>
      <c r="I4" s="33" t="s">
        <v>19</v>
      </c>
      <c r="J4" s="21" t="s">
        <v>14</v>
      </c>
    </row>
    <row r="5" spans="1:10" s="1" customFormat="1" x14ac:dyDescent="0.35">
      <c r="A5" s="3" t="s">
        <v>0</v>
      </c>
      <c r="B5" s="5">
        <v>405</v>
      </c>
      <c r="C5" s="5">
        <v>418</v>
      </c>
      <c r="D5" s="5">
        <v>409</v>
      </c>
      <c r="E5" s="5">
        <v>456</v>
      </c>
      <c r="F5" s="5">
        <v>447</v>
      </c>
      <c r="G5" s="5">
        <v>459</v>
      </c>
      <c r="H5" s="5">
        <v>832</v>
      </c>
      <c r="I5" s="34">
        <v>593</v>
      </c>
      <c r="J5" s="19">
        <f>I5-H5</f>
        <v>-239</v>
      </c>
    </row>
    <row r="6" spans="1:10" x14ac:dyDescent="0.35">
      <c r="A6" s="3" t="s">
        <v>1</v>
      </c>
      <c r="B6" s="6">
        <v>512</v>
      </c>
      <c r="C6" s="6">
        <v>432</v>
      </c>
      <c r="D6" s="6">
        <v>412</v>
      </c>
      <c r="E6" s="6">
        <v>505</v>
      </c>
      <c r="F6" s="6">
        <v>559</v>
      </c>
      <c r="G6" s="6">
        <f>617+120</f>
        <v>737</v>
      </c>
      <c r="H6" s="6">
        <f>601+170</f>
        <v>771</v>
      </c>
      <c r="I6" s="35">
        <f>977+1177</f>
        <v>2154</v>
      </c>
      <c r="J6" s="19">
        <f t="shared" ref="J6:J10" si="0">I6-H6</f>
        <v>1383</v>
      </c>
    </row>
    <row r="7" spans="1:10" x14ac:dyDescent="0.35">
      <c r="A7" s="3" t="s">
        <v>2</v>
      </c>
      <c r="B7" s="6">
        <v>10417</v>
      </c>
      <c r="C7" s="6">
        <v>9745</v>
      </c>
      <c r="D7" s="6">
        <v>9840</v>
      </c>
      <c r="E7" s="6">
        <v>10084</v>
      </c>
      <c r="F7" s="6">
        <v>9343</v>
      </c>
      <c r="G7" s="6">
        <f>7854+642</f>
        <v>8496</v>
      </c>
      <c r="H7" s="6">
        <f>8458+344</f>
        <v>8802</v>
      </c>
      <c r="I7" s="35">
        <f>8941+260</f>
        <v>9201</v>
      </c>
      <c r="J7" s="19">
        <f t="shared" si="0"/>
        <v>399</v>
      </c>
    </row>
    <row r="8" spans="1:10" x14ac:dyDescent="0.35">
      <c r="A8" s="3" t="s">
        <v>3</v>
      </c>
      <c r="B8" s="6">
        <v>25867</v>
      </c>
      <c r="C8" s="6">
        <v>28213</v>
      </c>
      <c r="D8" s="6">
        <v>34231</v>
      </c>
      <c r="E8" s="6">
        <v>44866</v>
      </c>
      <c r="F8" s="6">
        <v>31891</v>
      </c>
      <c r="G8" s="6">
        <f>17874+9719</f>
        <v>27593</v>
      </c>
      <c r="H8" s="6">
        <v>24608</v>
      </c>
      <c r="I8" s="35">
        <f>25259</f>
        <v>25259</v>
      </c>
      <c r="J8" s="19">
        <f t="shared" si="0"/>
        <v>651</v>
      </c>
    </row>
    <row r="9" spans="1:10" x14ac:dyDescent="0.35">
      <c r="A9" s="3" t="s">
        <v>4</v>
      </c>
      <c r="B9" s="6">
        <v>32161</v>
      </c>
      <c r="C9" s="6">
        <v>28198</v>
      </c>
      <c r="D9" s="6">
        <v>22533</v>
      </c>
      <c r="E9" s="6">
        <v>3719</v>
      </c>
      <c r="F9" s="6">
        <v>5990</v>
      </c>
      <c r="G9" s="6">
        <v>5799</v>
      </c>
      <c r="H9" s="6">
        <v>12814</v>
      </c>
      <c r="I9" s="35">
        <f>16223</f>
        <v>16223</v>
      </c>
      <c r="J9" s="19">
        <f t="shared" si="0"/>
        <v>3409</v>
      </c>
    </row>
    <row r="10" spans="1:10" s="1" customFormat="1" x14ac:dyDescent="0.35">
      <c r="A10" s="10" t="s">
        <v>5</v>
      </c>
      <c r="B10" s="15">
        <f t="shared" ref="B10:G10" si="1">B5+SUM(B6:B9)</f>
        <v>69362</v>
      </c>
      <c r="C10" s="15">
        <f t="shared" si="1"/>
        <v>67006</v>
      </c>
      <c r="D10" s="15">
        <f t="shared" si="1"/>
        <v>67425</v>
      </c>
      <c r="E10" s="15">
        <f t="shared" si="1"/>
        <v>59630</v>
      </c>
      <c r="F10" s="15">
        <f t="shared" si="1"/>
        <v>48230</v>
      </c>
      <c r="G10" s="15">
        <f t="shared" si="1"/>
        <v>43084</v>
      </c>
      <c r="H10" s="15">
        <f t="shared" ref="H10:I10" si="2">H5+SUM(H6:H9)</f>
        <v>47827</v>
      </c>
      <c r="I10" s="36">
        <f t="shared" si="2"/>
        <v>53430</v>
      </c>
      <c r="J10" s="19">
        <f t="shared" si="0"/>
        <v>5603</v>
      </c>
    </row>
    <row r="11" spans="1:10" s="1" customFormat="1" x14ac:dyDescent="0.35">
      <c r="A11" s="10"/>
      <c r="B11" s="15"/>
      <c r="C11" s="15"/>
      <c r="D11" s="15"/>
      <c r="E11" s="15"/>
      <c r="F11" s="15"/>
      <c r="G11" s="15"/>
      <c r="H11" s="15"/>
      <c r="I11" s="36"/>
      <c r="J11" s="19"/>
    </row>
    <row r="12" spans="1:10" x14ac:dyDescent="0.35">
      <c r="A12" s="3" t="s">
        <v>13</v>
      </c>
      <c r="B12" s="13"/>
      <c r="C12" s="14">
        <f>C10-B10</f>
        <v>-2356</v>
      </c>
      <c r="D12" s="14">
        <f t="shared" ref="D12:G12" si="3">D10-C10</f>
        <v>419</v>
      </c>
      <c r="E12" s="14">
        <f t="shared" si="3"/>
        <v>-7795</v>
      </c>
      <c r="F12" s="14">
        <f t="shared" si="3"/>
        <v>-11400</v>
      </c>
      <c r="G12" s="14">
        <f t="shared" si="3"/>
        <v>-5146</v>
      </c>
      <c r="H12" s="14">
        <f>H10-G10</f>
        <v>4743</v>
      </c>
      <c r="I12" s="37">
        <f>I10-H10</f>
        <v>5603</v>
      </c>
      <c r="J12" s="12"/>
    </row>
    <row r="13" spans="1:10" x14ac:dyDescent="0.35">
      <c r="A13" s="3"/>
      <c r="B13" s="13"/>
      <c r="C13" s="14"/>
      <c r="D13" s="14"/>
      <c r="E13" s="14"/>
      <c r="F13" s="14"/>
      <c r="G13" s="14"/>
      <c r="H13" s="14"/>
      <c r="I13" s="37"/>
      <c r="J13" s="12"/>
    </row>
    <row r="14" spans="1:10" s="1" customFormat="1" x14ac:dyDescent="0.35">
      <c r="A14" s="4" t="s">
        <v>12</v>
      </c>
      <c r="B14" s="1">
        <v>215499</v>
      </c>
      <c r="C14" s="2">
        <v>208486</v>
      </c>
      <c r="D14" s="1">
        <v>218701</v>
      </c>
      <c r="E14" s="1">
        <v>236487</v>
      </c>
      <c r="F14" s="11">
        <v>251420</v>
      </c>
      <c r="G14" s="11">
        <v>269644</v>
      </c>
      <c r="H14" s="11">
        <v>289577</v>
      </c>
      <c r="I14" s="38">
        <v>300594</v>
      </c>
      <c r="J14" s="19"/>
    </row>
    <row r="15" spans="1:10" x14ac:dyDescent="0.35">
      <c r="A15" s="3" t="s">
        <v>7</v>
      </c>
      <c r="B15" s="7">
        <f>B10/B14</f>
        <v>0.32186692281634716</v>
      </c>
      <c r="C15" s="7">
        <f t="shared" ref="C15" si="4">C10/C14</f>
        <v>0.32139328300221598</v>
      </c>
      <c r="D15" s="7">
        <f t="shared" ref="D15" si="5">D10/D14</f>
        <v>0.30829763009771333</v>
      </c>
      <c r="E15" s="7">
        <f t="shared" ref="E15" si="6">E10/E14</f>
        <v>0.25214916676180932</v>
      </c>
      <c r="F15" s="7">
        <f t="shared" ref="F15:G15" si="7">F10/F14</f>
        <v>0.19183040330920373</v>
      </c>
      <c r="G15" s="7">
        <f t="shared" si="7"/>
        <v>0.15978104463663201</v>
      </c>
      <c r="H15" s="7">
        <f t="shared" ref="H15:I15" si="8">H10/H14</f>
        <v>0.16516159777882913</v>
      </c>
      <c r="I15" s="39">
        <f t="shared" si="8"/>
        <v>0.1777480588434899</v>
      </c>
      <c r="J15" s="12"/>
    </row>
    <row r="16" spans="1:10" x14ac:dyDescent="0.35">
      <c r="A16" s="4" t="s">
        <v>9</v>
      </c>
      <c r="B16" s="7">
        <f>B8/B14</f>
        <v>0.12003303959647145</v>
      </c>
      <c r="C16" s="7">
        <f t="shared" ref="C16:F16" si="9">C8/C14</f>
        <v>0.13532323513329433</v>
      </c>
      <c r="D16" s="7">
        <f t="shared" si="9"/>
        <v>0.15651963182610049</v>
      </c>
      <c r="E16" s="7">
        <f t="shared" si="9"/>
        <v>0.18971867375373699</v>
      </c>
      <c r="F16" s="7">
        <f t="shared" si="9"/>
        <v>0.12684352875666216</v>
      </c>
      <c r="G16" s="7">
        <f t="shared" ref="G16" si="10">G8/G14</f>
        <v>0.10233122190740383</v>
      </c>
      <c r="H16" s="7">
        <f>H8/H14</f>
        <v>8.4979124723303295E-2</v>
      </c>
      <c r="I16" s="39">
        <f t="shared" ref="I16" si="11">I8/I14</f>
        <v>8.4030286699002643E-2</v>
      </c>
      <c r="J16" s="12"/>
    </row>
    <row r="17" spans="1:13" x14ac:dyDescent="0.35">
      <c r="A17" s="8" t="s">
        <v>10</v>
      </c>
      <c r="B17" s="9">
        <f>B9/B14</f>
        <v>0.14923967164580809</v>
      </c>
      <c r="C17" s="9">
        <f t="shared" ref="C17:F17" si="12">C9/C14</f>
        <v>0.13525128785625892</v>
      </c>
      <c r="D17" s="9">
        <f t="shared" si="12"/>
        <v>0.10303107896168742</v>
      </c>
      <c r="E17" s="9">
        <f t="shared" si="12"/>
        <v>1.5726022994921495E-2</v>
      </c>
      <c r="F17" s="9">
        <f t="shared" si="12"/>
        <v>2.382467584122186E-2</v>
      </c>
      <c r="G17" s="9">
        <f t="shared" ref="G17" si="13">G9/G14</f>
        <v>2.150613401373663E-2</v>
      </c>
      <c r="H17" s="9">
        <f>H9/H14</f>
        <v>4.4250751958891762E-2</v>
      </c>
      <c r="I17" s="40">
        <f t="shared" ref="I17" si="14">I9/I14</f>
        <v>5.3969806449895873E-2</v>
      </c>
      <c r="J17" s="12"/>
    </row>
    <row r="18" spans="1:13" ht="15" customHeight="1" x14ac:dyDescent="0.35">
      <c r="A18" s="24" t="s">
        <v>8</v>
      </c>
      <c r="B18" s="23">
        <f>SUM(B8:B9)/B14</f>
        <v>0.26927271124227953</v>
      </c>
      <c r="C18" s="23">
        <f>SUM(C8:C9)/C14</f>
        <v>0.27057452298955326</v>
      </c>
      <c r="D18" s="23">
        <f t="shared" ref="D18:F18" si="15">SUM(D8:D9)/D14</f>
        <v>0.25955071078778791</v>
      </c>
      <c r="E18" s="23">
        <f t="shared" si="15"/>
        <v>0.20544469674865848</v>
      </c>
      <c r="F18" s="23">
        <f t="shared" si="15"/>
        <v>0.15066820459788402</v>
      </c>
      <c r="G18" s="23">
        <f t="shared" ref="G18" si="16">SUM(G8:G9)/G14</f>
        <v>0.12383735592114047</v>
      </c>
      <c r="H18" s="23">
        <f>SUM(H8:H9)/H14</f>
        <v>0.12922987668219507</v>
      </c>
      <c r="I18" s="41">
        <f t="shared" ref="I18" si="17">SUM(I8:I9)/I14</f>
        <v>0.13800009314889852</v>
      </c>
      <c r="J18" s="12"/>
    </row>
    <row r="19" spans="1:13" x14ac:dyDescent="0.35">
      <c r="A19" s="25"/>
      <c r="B19" s="18"/>
      <c r="C19" s="18"/>
      <c r="D19" s="18"/>
      <c r="E19" s="18"/>
      <c r="F19" s="18"/>
      <c r="G19" s="18"/>
      <c r="H19" s="18"/>
      <c r="I19" s="42"/>
      <c r="J19" s="12"/>
    </row>
    <row r="20" spans="1:13" s="22" customFormat="1" x14ac:dyDescent="0.35">
      <c r="A20" s="49" t="s">
        <v>17</v>
      </c>
      <c r="B20" s="29">
        <v>19106</v>
      </c>
      <c r="C20" s="29">
        <v>18949</v>
      </c>
      <c r="D20" s="29">
        <v>20055</v>
      </c>
      <c r="E20" s="29">
        <v>23551</v>
      </c>
      <c r="F20" s="29">
        <v>23586</v>
      </c>
      <c r="G20" s="29">
        <v>17874</v>
      </c>
      <c r="H20" s="29">
        <v>12363</v>
      </c>
      <c r="I20" s="43">
        <v>12253</v>
      </c>
      <c r="J20" s="26"/>
    </row>
    <row r="21" spans="1:13" s="22" customFormat="1" x14ac:dyDescent="0.35">
      <c r="A21" s="50" t="s">
        <v>18</v>
      </c>
      <c r="B21" s="30" t="s">
        <v>16</v>
      </c>
      <c r="C21" s="30">
        <f t="shared" ref="C21:G21" si="18">C20-B20</f>
        <v>-157</v>
      </c>
      <c r="D21" s="30">
        <f t="shared" si="18"/>
        <v>1106</v>
      </c>
      <c r="E21" s="30">
        <f t="shared" si="18"/>
        <v>3496</v>
      </c>
      <c r="F21" s="30">
        <f t="shared" si="18"/>
        <v>35</v>
      </c>
      <c r="G21" s="30">
        <f t="shared" si="18"/>
        <v>-5712</v>
      </c>
      <c r="H21" s="30">
        <f>H20-G20</f>
        <v>-5511</v>
      </c>
      <c r="I21" s="44">
        <f>I20-H20</f>
        <v>-110</v>
      </c>
      <c r="J21" s="26"/>
    </row>
    <row r="22" spans="1:13" ht="15" thickBot="1" x14ac:dyDescent="0.4">
      <c r="A22" s="27"/>
      <c r="B22" s="28"/>
      <c r="C22" s="28"/>
      <c r="D22" s="28"/>
      <c r="E22" s="28"/>
      <c r="F22" s="28"/>
      <c r="G22" s="28"/>
      <c r="H22" s="51"/>
      <c r="I22" s="45"/>
      <c r="J22" s="20"/>
    </row>
    <row r="23" spans="1:13" x14ac:dyDescent="0.35">
      <c r="A23" s="18"/>
      <c r="B23" s="18"/>
      <c r="C23" s="18"/>
      <c r="D23" s="18"/>
      <c r="E23" s="18"/>
      <c r="F23" s="18"/>
      <c r="G23" s="18"/>
      <c r="H23" s="18"/>
      <c r="I23" s="18"/>
    </row>
    <row r="24" spans="1:13" ht="15" thickBot="1" x14ac:dyDescent="0.4">
      <c r="A24" s="18"/>
      <c r="B24" s="18"/>
      <c r="C24" s="18"/>
      <c r="D24" s="18"/>
      <c r="E24" s="18"/>
      <c r="F24" s="18"/>
      <c r="G24" s="18"/>
      <c r="H24" s="18"/>
      <c r="I24" s="18"/>
    </row>
    <row r="25" spans="1:13" ht="15" thickBot="1" x14ac:dyDescent="0.4">
      <c r="F25" s="66"/>
      <c r="G25" s="66"/>
      <c r="H25" s="148" t="s">
        <v>20</v>
      </c>
      <c r="I25" s="149"/>
      <c r="J25" s="150"/>
    </row>
    <row r="26" spans="1:13" x14ac:dyDescent="0.35">
      <c r="F26" s="3"/>
      <c r="G26" s="67">
        <v>2016</v>
      </c>
      <c r="H26" s="52">
        <v>2017</v>
      </c>
      <c r="I26" s="53" t="s">
        <v>19</v>
      </c>
      <c r="J26" s="54" t="s">
        <v>14</v>
      </c>
    </row>
    <row r="27" spans="1:13" x14ac:dyDescent="0.35">
      <c r="F27" s="3" t="s">
        <v>0</v>
      </c>
      <c r="G27" s="55">
        <v>459</v>
      </c>
      <c r="H27" s="55">
        <v>756</v>
      </c>
      <c r="I27" s="34">
        <v>593</v>
      </c>
      <c r="J27" s="19">
        <f>I27-H27</f>
        <v>-163</v>
      </c>
    </row>
    <row r="28" spans="1:13" x14ac:dyDescent="0.35">
      <c r="F28" s="3" t="s">
        <v>1</v>
      </c>
      <c r="G28" s="56">
        <f>617+120</f>
        <v>737</v>
      </c>
      <c r="H28" s="56">
        <f>601+170</f>
        <v>771</v>
      </c>
      <c r="I28" s="35">
        <f>977+1177</f>
        <v>2154</v>
      </c>
      <c r="J28" s="19">
        <f t="shared" ref="J28:J32" si="19">I28-H28</f>
        <v>1383</v>
      </c>
    </row>
    <row r="29" spans="1:13" x14ac:dyDescent="0.35">
      <c r="F29" s="3" t="s">
        <v>2</v>
      </c>
      <c r="G29" s="56">
        <f>7854+642</f>
        <v>8496</v>
      </c>
      <c r="H29" s="56">
        <f>8458+344</f>
        <v>8802</v>
      </c>
      <c r="I29" s="35">
        <f>8941+260</f>
        <v>9201</v>
      </c>
      <c r="J29" s="19">
        <f t="shared" si="19"/>
        <v>399</v>
      </c>
    </row>
    <row r="30" spans="1:13" x14ac:dyDescent="0.35">
      <c r="F30" s="3" t="s">
        <v>3</v>
      </c>
      <c r="G30" s="56">
        <f>17874+9719</f>
        <v>27593</v>
      </c>
      <c r="H30" s="56">
        <f>23697</f>
        <v>23697</v>
      </c>
      <c r="I30" s="35">
        <f>25259</f>
        <v>25259</v>
      </c>
      <c r="J30" s="19">
        <f t="shared" si="19"/>
        <v>1562</v>
      </c>
    </row>
    <row r="31" spans="1:13" x14ac:dyDescent="0.35">
      <c r="F31" s="3" t="s">
        <v>4</v>
      </c>
      <c r="G31" s="56">
        <v>5799</v>
      </c>
      <c r="H31" s="56">
        <v>12814</v>
      </c>
      <c r="I31" s="35">
        <f>16223</f>
        <v>16223</v>
      </c>
      <c r="J31" s="19">
        <f t="shared" si="19"/>
        <v>3409</v>
      </c>
    </row>
    <row r="32" spans="1:13" x14ac:dyDescent="0.35">
      <c r="F32" s="10" t="s">
        <v>5</v>
      </c>
      <c r="G32" s="57">
        <f t="shared" ref="G32" si="20">G27+SUM(G28:G31)</f>
        <v>43084</v>
      </c>
      <c r="H32" s="57">
        <f t="shared" ref="H32:I32" si="21">H27+SUM(H28:H31)</f>
        <v>46840</v>
      </c>
      <c r="I32" s="36">
        <f t="shared" si="21"/>
        <v>53430</v>
      </c>
      <c r="J32" s="19">
        <f t="shared" si="19"/>
        <v>6590</v>
      </c>
      <c r="L32" s="1">
        <f>H32+912+75</f>
        <v>47827</v>
      </c>
      <c r="M32" t="s">
        <v>21</v>
      </c>
    </row>
    <row r="33" spans="6:13" x14ac:dyDescent="0.35">
      <c r="F33" s="10"/>
      <c r="G33" s="57"/>
      <c r="H33" s="57"/>
      <c r="I33" s="36"/>
      <c r="J33" s="19"/>
      <c r="L33" s="1">
        <f>H12-H34</f>
        <v>987</v>
      </c>
      <c r="M33" t="s">
        <v>22</v>
      </c>
    </row>
    <row r="34" spans="6:13" x14ac:dyDescent="0.35">
      <c r="F34" s="3" t="s">
        <v>13</v>
      </c>
      <c r="G34" s="58">
        <v>-5146</v>
      </c>
      <c r="H34" s="58">
        <f>H32-G32</f>
        <v>3756</v>
      </c>
      <c r="I34" s="37">
        <f>I32-H32</f>
        <v>6590</v>
      </c>
      <c r="J34" s="12"/>
      <c r="L34" s="1">
        <f>J10-J32</f>
        <v>-987</v>
      </c>
    </row>
    <row r="35" spans="6:13" x14ac:dyDescent="0.35">
      <c r="F35" s="3"/>
      <c r="G35" s="58"/>
      <c r="H35" s="58"/>
      <c r="I35" s="37"/>
      <c r="J35" s="12"/>
    </row>
    <row r="36" spans="6:13" x14ac:dyDescent="0.35">
      <c r="F36" s="4" t="s">
        <v>12</v>
      </c>
      <c r="G36" s="59">
        <v>269644</v>
      </c>
      <c r="H36" s="59">
        <v>289577</v>
      </c>
      <c r="I36" s="38">
        <v>300594</v>
      </c>
      <c r="J36" s="19"/>
    </row>
    <row r="37" spans="6:13" x14ac:dyDescent="0.35">
      <c r="F37" s="3" t="s">
        <v>7</v>
      </c>
      <c r="G37" s="60">
        <f t="shared" ref="G37" si="22">G32/G36</f>
        <v>0.15978104463663201</v>
      </c>
      <c r="H37" s="60">
        <f t="shared" ref="H37:I37" si="23">H32/H36</f>
        <v>0.16175317791122915</v>
      </c>
      <c r="I37" s="39">
        <f t="shared" si="23"/>
        <v>0.1777480588434899</v>
      </c>
      <c r="J37" s="12"/>
    </row>
    <row r="38" spans="6:13" x14ac:dyDescent="0.35">
      <c r="F38" s="4" t="s">
        <v>9</v>
      </c>
      <c r="G38" s="60">
        <f t="shared" ref="G38" si="24">G30/G36</f>
        <v>0.10233122190740383</v>
      </c>
      <c r="H38" s="60">
        <f>H30/H36</f>
        <v>8.1833156638821458E-2</v>
      </c>
      <c r="I38" s="39">
        <f t="shared" ref="I38" si="25">I30/I36</f>
        <v>8.4030286699002643E-2</v>
      </c>
      <c r="J38" s="12"/>
    </row>
    <row r="39" spans="6:13" x14ac:dyDescent="0.35">
      <c r="F39" s="8" t="s">
        <v>10</v>
      </c>
      <c r="G39" s="61">
        <f t="shared" ref="G39" si="26">G31/G36</f>
        <v>2.150613401373663E-2</v>
      </c>
      <c r="H39" s="61">
        <f>H31/H36</f>
        <v>4.4250751958891762E-2</v>
      </c>
      <c r="I39" s="40">
        <f t="shared" ref="I39" si="27">I31/I36</f>
        <v>5.3969806449895873E-2</v>
      </c>
      <c r="J39" s="12"/>
    </row>
    <row r="40" spans="6:13" x14ac:dyDescent="0.35">
      <c r="F40" s="24" t="s">
        <v>8</v>
      </c>
      <c r="G40" s="62">
        <f t="shared" ref="G40" si="28">SUM(G30:G31)/G36</f>
        <v>0.12383735592114047</v>
      </c>
      <c r="H40" s="62">
        <f>SUM(H30:H31)/H36</f>
        <v>0.12608390859771321</v>
      </c>
      <c r="I40" s="41">
        <f t="shared" ref="I40" si="29">SUM(I30:I31)/I36</f>
        <v>0.13800009314889852</v>
      </c>
      <c r="J40" s="12"/>
    </row>
    <row r="41" spans="6:13" x14ac:dyDescent="0.35">
      <c r="F41" s="25"/>
      <c r="G41" s="25"/>
      <c r="H41" s="25"/>
      <c r="I41" s="42"/>
      <c r="J41" s="12"/>
    </row>
    <row r="42" spans="6:13" x14ac:dyDescent="0.35">
      <c r="F42" s="49" t="s">
        <v>17</v>
      </c>
      <c r="G42" s="63">
        <v>17874</v>
      </c>
      <c r="H42" s="63">
        <v>12363</v>
      </c>
      <c r="I42" s="43">
        <v>12253</v>
      </c>
      <c r="J42" s="26"/>
    </row>
    <row r="43" spans="6:13" x14ac:dyDescent="0.35">
      <c r="F43" s="50" t="s">
        <v>18</v>
      </c>
      <c r="G43" s="64">
        <f>G21</f>
        <v>-5712</v>
      </c>
      <c r="H43" s="64">
        <f>H42-G42</f>
        <v>-5511</v>
      </c>
      <c r="I43" s="44">
        <f>I42-H42</f>
        <v>-110</v>
      </c>
      <c r="J43" s="26"/>
    </row>
    <row r="44" spans="6:13" ht="15" thickBot="1" x14ac:dyDescent="0.4">
      <c r="F44" s="27"/>
      <c r="G44" s="27"/>
      <c r="H44" s="65"/>
      <c r="I44" s="45"/>
      <c r="J44" s="20"/>
    </row>
  </sheetData>
  <mergeCells count="4">
    <mergeCell ref="A2:H2"/>
    <mergeCell ref="A1:H1"/>
    <mergeCell ref="A3:H3"/>
    <mergeCell ref="H25:J25"/>
  </mergeCells>
  <printOptions horizontalCentered="1"/>
  <pageMargins left="0.7" right="0.7" top="0.75" bottom="0.75" header="0.3" footer="0.3"/>
  <pageSetup scale="75" orientation="landscape" r:id="rId1"/>
  <headerFooter>
    <oddHeader>&amp;RWorking Papers
For Discussion Purposes Only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Fund Balance Compare WTB</vt:lpstr>
      <vt:lpstr>Fund Balance Comparison FINAL</vt:lpstr>
      <vt:lpstr>1. Fund Balance Comparison EST</vt:lpstr>
      <vt:lpstr>Sheet1</vt:lpstr>
      <vt:lpstr>'1. Fund Balance Comparison EST'!Print_Area</vt:lpstr>
      <vt:lpstr>'Fund Balance Compare WTB'!Print_Area</vt:lpstr>
      <vt:lpstr>'Fund Balance Comparison FINAL'!Print_Area</vt:lpstr>
    </vt:vector>
  </TitlesOfParts>
  <Company>St. Johns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SJCSD User</dc:creator>
  <cp:lastModifiedBy>Phyllis Coppola</cp:lastModifiedBy>
  <cp:lastPrinted>2023-09-06T18:50:55Z</cp:lastPrinted>
  <dcterms:created xsi:type="dcterms:W3CDTF">2015-02-03T17:39:34Z</dcterms:created>
  <dcterms:modified xsi:type="dcterms:W3CDTF">2023-09-06T21:20:09Z</dcterms:modified>
</cp:coreProperties>
</file>